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226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aphaël\Desktop\ECL\2A\EPSA\Cost_Report_Vulcanix\Cost_SU\"/>
    </mc:Choice>
  </mc:AlternateContent>
  <xr:revisionPtr revIDLastSave="0" documentId="13_ncr:1_{978C7159-F5FC-4DD2-877A-7AC4163D5C5B}" xr6:coauthVersionLast="32" xr6:coauthVersionMax="32" xr10:uidLastSave="{00000000-0000-0000-0000-000000000000}"/>
  <bookViews>
    <workbookView xWindow="0" yWindow="0" windowWidth="20490" windowHeight="7545" firstSheet="84" activeTab="86" xr2:uid="{00000000-000D-0000-FFFF-FFFF00000000}"/>
  </bookViews>
  <sheets>
    <sheet name="BOM" sheetId="8" r:id="rId1"/>
    <sheet name="SU A0100" sheetId="20" r:id="rId2"/>
    <sheet name="SU 01001" sheetId="21" r:id="rId3"/>
    <sheet name="dSU 01001" sheetId="27" r:id="rId4"/>
    <sheet name="SU 01002" sheetId="22" r:id="rId5"/>
    <sheet name="dSU 01002" sheetId="28" r:id="rId6"/>
    <sheet name="SU 01003" sheetId="23" r:id="rId7"/>
    <sheet name="SU 01004" sheetId="24" r:id="rId8"/>
    <sheet name="SU 01005" sheetId="25" r:id="rId9"/>
    <sheet name="dSU 01005" sheetId="29" r:id="rId10"/>
    <sheet name="SU 01006" sheetId="42" r:id="rId11"/>
    <sheet name="dSU 01006" sheetId="43" r:id="rId12"/>
    <sheet name="SU 01007" sheetId="26" r:id="rId13"/>
    <sheet name="dSU 01007" sheetId="30" r:id="rId14"/>
    <sheet name="SU 01008" sheetId="72" r:id="rId15"/>
    <sheet name="dSU 01008" sheetId="73" r:id="rId16"/>
    <sheet name="SU 01009" sheetId="74" r:id="rId17"/>
    <sheet name="dSU 01009" sheetId="75" r:id="rId18"/>
    <sheet name="SU 01010" sheetId="76" r:id="rId19"/>
    <sheet name="dSU 01010" sheetId="77" r:id="rId20"/>
    <sheet name="SU 01011" sheetId="78" r:id="rId21"/>
    <sheet name="dSU 01011" sheetId="79" r:id="rId22"/>
    <sheet name="SU A0200" sheetId="31" r:id="rId23"/>
    <sheet name="SU 02001" sheetId="32" r:id="rId24"/>
    <sheet name="dSU 02001" sheetId="38" r:id="rId25"/>
    <sheet name="SU 02002" sheetId="33" r:id="rId26"/>
    <sheet name="dSU 02002" sheetId="39" r:id="rId27"/>
    <sheet name="SU 02003" sheetId="34" r:id="rId28"/>
    <sheet name="SU 02004" sheetId="35" r:id="rId29"/>
    <sheet name="SU 02005" sheetId="36" r:id="rId30"/>
    <sheet name="dSU 02005" sheetId="40" r:id="rId31"/>
    <sheet name="SU 02006" sheetId="44" r:id="rId32"/>
    <sheet name="dSU 02006" sheetId="45" r:id="rId33"/>
    <sheet name="SU 02007" sheetId="37" r:id="rId34"/>
    <sheet name="dSU 02007" sheetId="41" r:id="rId35"/>
    <sheet name="SU 02008" sheetId="83" r:id="rId36"/>
    <sheet name="dSU 02008" sheetId="84" r:id="rId37"/>
    <sheet name="SU 02009" sheetId="85" r:id="rId38"/>
    <sheet name="dSU 02009" sheetId="86" r:id="rId39"/>
    <sheet name="SU 02010" sheetId="87" r:id="rId40"/>
    <sheet name="dSU 02010" sheetId="88" r:id="rId41"/>
    <sheet name="SU 02011" sheetId="89" r:id="rId42"/>
    <sheet name="dSU 02011" sheetId="90" r:id="rId43"/>
    <sheet name="SU A0300" sheetId="46" r:id="rId44"/>
    <sheet name="SU 03001" sheetId="47" r:id="rId45"/>
    <sheet name="dSU 03001" sheetId="53" r:id="rId46"/>
    <sheet name="SU 03002" sheetId="48" r:id="rId47"/>
    <sheet name="dSU 03002" sheetId="54" r:id="rId48"/>
    <sheet name="SU 03003" sheetId="49" r:id="rId49"/>
    <sheet name="SU 03004" sheetId="50" r:id="rId50"/>
    <sheet name="SU 03005" sheetId="51" r:id="rId51"/>
    <sheet name="dSU 03005" sheetId="55" r:id="rId52"/>
    <sheet name="SU 03006" sheetId="57" r:id="rId53"/>
    <sheet name="dSU 03006" sheetId="58" r:id="rId54"/>
    <sheet name="SU 03007" sheetId="52" r:id="rId55"/>
    <sheet name="dSU 03007" sheetId="56" r:id="rId56"/>
    <sheet name="SU 03008" sheetId="91" r:id="rId57"/>
    <sheet name="dSU 03008" sheetId="92" r:id="rId58"/>
    <sheet name="SU 03009" sheetId="93" r:id="rId59"/>
    <sheet name="dSU 03009" sheetId="94" r:id="rId60"/>
    <sheet name="SU 03010" sheetId="95" r:id="rId61"/>
    <sheet name="dSU 03010" sheetId="96" r:id="rId62"/>
    <sheet name="SU 03011" sheetId="97" r:id="rId63"/>
    <sheet name="dSU 03011" sheetId="98" r:id="rId64"/>
    <sheet name="SU A0400" sheetId="59" r:id="rId65"/>
    <sheet name="SU 04001" sheetId="60" r:id="rId66"/>
    <sheet name="dSU 04001" sheetId="66" r:id="rId67"/>
    <sheet name="SU 04002" sheetId="61" r:id="rId68"/>
    <sheet name="dSU 04002" sheetId="67" r:id="rId69"/>
    <sheet name="SU 04003" sheetId="62" r:id="rId70"/>
    <sheet name="SU 04004" sheetId="63" r:id="rId71"/>
    <sheet name="SU 04005" sheetId="64" r:id="rId72"/>
    <sheet name="dSU 04005" sheetId="68" r:id="rId73"/>
    <sheet name="SU 04006" sheetId="70" r:id="rId74"/>
    <sheet name="dSU 04006" sheetId="71" r:id="rId75"/>
    <sheet name="SU 04007" sheetId="65" r:id="rId76"/>
    <sheet name="dSU 04007" sheetId="69" r:id="rId77"/>
    <sheet name="SU 04008" sheetId="99" r:id="rId78"/>
    <sheet name="dSU 04008" sheetId="100" r:id="rId79"/>
    <sheet name="SU 04009" sheetId="101" r:id="rId80"/>
    <sheet name="dSU 04009" sheetId="102" r:id="rId81"/>
    <sheet name="SU 04010" sheetId="103" r:id="rId82"/>
    <sheet name="dSU 04010" sheetId="104" r:id="rId83"/>
    <sheet name="SU 04011" sheetId="105" r:id="rId84"/>
    <sheet name="dSU 04011" sheetId="106" r:id="rId85"/>
    <sheet name="SU A0500" sheetId="107" r:id="rId86"/>
    <sheet name="SU 05001" sheetId="108" r:id="rId87"/>
    <sheet name="dSU 05001" sheetId="109" r:id="rId88"/>
    <sheet name="SU A0600" sheetId="111" r:id="rId89"/>
    <sheet name="SU 06001" sheetId="112" r:id="rId90"/>
    <sheet name="SU 06002" sheetId="113" r:id="rId91"/>
    <sheet name="SU 06003" sheetId="114" r:id="rId92"/>
    <sheet name="dSU 06003" sheetId="115" r:id="rId93"/>
    <sheet name="SU 06004" sheetId="116" r:id="rId94"/>
    <sheet name="SU A0700" sheetId="118" r:id="rId95"/>
    <sheet name="SU 07001" sheetId="119" r:id="rId96"/>
    <sheet name="dSU 07001" sheetId="120" r:id="rId97"/>
    <sheet name="SU A0800" sheetId="122" r:id="rId98"/>
    <sheet name="SU 08001" sheetId="123" r:id="rId99"/>
    <sheet name="SU 08002" sheetId="124" r:id="rId100"/>
    <sheet name="dSU 08002" sheetId="125" r:id="rId101"/>
    <sheet name="SU 08003" sheetId="126" r:id="rId102"/>
    <sheet name="SU A0900" sheetId="127" r:id="rId103"/>
    <sheet name="SU 09001" sheetId="128" r:id="rId104"/>
    <sheet name="SU 09002" sheetId="129" r:id="rId105"/>
    <sheet name="dSU 09002" sheetId="131" r:id="rId106"/>
    <sheet name="SU 09003" sheetId="130" r:id="rId107"/>
    <sheet name="dSU 09003" sheetId="134" r:id="rId108"/>
    <sheet name="SU 09004" sheetId="133" r:id="rId109"/>
    <sheet name="dSU 09004" sheetId="132" r:id="rId110"/>
    <sheet name="SU A1000" sheetId="135" r:id="rId111"/>
    <sheet name="SU 10001" sheetId="136" r:id="rId112"/>
    <sheet name="dSU 10001" sheetId="137" r:id="rId113"/>
    <sheet name="SU 10002" sheetId="138" r:id="rId114"/>
    <sheet name="dSU 10002" sheetId="139" r:id="rId115"/>
    <sheet name="SU 10003" sheetId="140" r:id="rId116"/>
    <sheet name="dSU 10003" sheetId="141" r:id="rId117"/>
    <sheet name="SU 10004" sheetId="142" r:id="rId118"/>
    <sheet name="dSU 10004" sheetId="143" r:id="rId119"/>
    <sheet name="SU 10005" sheetId="144" r:id="rId120"/>
    <sheet name="dSU 10005" sheetId="145" r:id="rId121"/>
    <sheet name="SU A1100 " sheetId="146" r:id="rId122"/>
    <sheet name="SU 11001" sheetId="147" r:id="rId123"/>
    <sheet name="dSU 11001" sheetId="148" r:id="rId124"/>
    <sheet name="SU 11002" sheetId="149" r:id="rId125"/>
    <sheet name="dSU 11002" sheetId="150" r:id="rId126"/>
    <sheet name="SU 11003" sheetId="151" r:id="rId127"/>
    <sheet name="dSU 11003" sheetId="152" r:id="rId128"/>
    <sheet name="SU 11004" sheetId="153" r:id="rId129"/>
    <sheet name="dSU 11004" sheetId="154" r:id="rId130"/>
    <sheet name="SU A1200" sheetId="155" r:id="rId131"/>
    <sheet name="SU 12001" sheetId="156" r:id="rId132"/>
    <sheet name="SU 12002" sheetId="157" r:id="rId133"/>
    <sheet name="dSU 12002" sheetId="158" r:id="rId134"/>
    <sheet name="SU 12003" sheetId="159" r:id="rId135"/>
    <sheet name="dSU 12003" sheetId="160" r:id="rId136"/>
    <sheet name="SU 12004" sheetId="161" r:id="rId137"/>
    <sheet name="dSU 12004" sheetId="162" r:id="rId138"/>
    <sheet name="SU A1300" sheetId="163" r:id="rId139"/>
    <sheet name="SU 13001" sheetId="164" r:id="rId140"/>
    <sheet name="dSU 13001" sheetId="165" r:id="rId141"/>
    <sheet name="SU 13002" sheetId="166" r:id="rId142"/>
    <sheet name="dSU 13002" sheetId="167" r:id="rId143"/>
  </sheets>
  <externalReferences>
    <externalReference r:id="rId144"/>
    <externalReference r:id="rId145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'dSU 12002'!$A$1</definedName>
    <definedName name="dSU_12003">'dSU 12003'!$A$1</definedName>
    <definedName name="dSU_12004">'dSU 12004'!$A$1</definedName>
    <definedName name="dSU_13001">'dSU 13001'!$A$1</definedName>
    <definedName name="dSU_13002">'dSU 13002'!$A$1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01005'!$I$17</definedName>
    <definedName name="SU_01005_q">'SU 01005'!$N$3</definedName>
    <definedName name="SU_01006">'SU 01006'!$B$6</definedName>
    <definedName name="SU_01006_m">'SU 01006'!$N$12</definedName>
    <definedName name="SU_01006_p">'SU 01006'!$I$17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02005'!$I$17</definedName>
    <definedName name="SU_02005_q">'SU 02005'!$N$3</definedName>
    <definedName name="SU_02006">'SU 02006'!$B$6</definedName>
    <definedName name="SU_02006_m">'SU 02006'!$N$12</definedName>
    <definedName name="SU_02006_p">'SU 02006'!$I$17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03005'!$I$17</definedName>
    <definedName name="SU_03005_q">'SU 03005'!$N$3</definedName>
    <definedName name="SU_03006">'SU 03006'!$B$6</definedName>
    <definedName name="SU_03006_m">'SU 03006'!$N$12</definedName>
    <definedName name="SU_03006_p">'SU 03006'!$I$17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04005'!$I$17</definedName>
    <definedName name="SU_04005_q">'SU 04005'!$N$3</definedName>
    <definedName name="SU_04006">'SU 04006'!$B$6</definedName>
    <definedName name="SU_04006_m">'SU 04006'!$N$12</definedName>
    <definedName name="SU_04006_p">'SU 04006'!$I$17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12001'!$I$16</definedName>
    <definedName name="SU_12001_q">'SU 12001'!$N$3</definedName>
    <definedName name="SU_12002">'SU 12002'!$B$6</definedName>
    <definedName name="SU_12002_m">'SU 12002'!$N$12</definedName>
    <definedName name="SU_12002_p">'SU 12002'!$I$19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A0100'!$J$58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A0100'!$I$62</definedName>
    <definedName name="SU_A0200">'SU A0200'!$B$5</definedName>
    <definedName name="SU_A0200_BOM">BOM!$C$19</definedName>
    <definedName name="SU_A0200_f">'SU A0200'!$J$58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A0200'!$I$62</definedName>
    <definedName name="SU_A0300">'SU A0300'!$B$5</definedName>
    <definedName name="SU_A0300_BOM">BOM!$C$31</definedName>
    <definedName name="SU_A0300_f">'SU A0300'!$J$58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A0300'!$I$62</definedName>
    <definedName name="SU_A0400">'SU A0400'!$B$5</definedName>
    <definedName name="SU_A0400_BOM">BOM!$C$43</definedName>
    <definedName name="SU_A0400_f">'SU A0400'!$J$58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A0400'!$I$62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A1000'!$J$39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'!$J$42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A1200'!$J$46</definedName>
    <definedName name="SU_A1200_m">'SU A1200'!$N$19</definedName>
    <definedName name="SU_A1200_p">'SU A1200'!$I$38</definedName>
    <definedName name="SU_A1200_pa">'SU A1200'!$E$14</definedName>
    <definedName name="SU_A1200_q">'SU A1200'!$N$3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_xlnm.Print_Area" localSheetId="4">'SU 01002'!$A$1:$O$37</definedName>
  </definedNames>
  <calcPr calcId="179017"/>
</workbook>
</file>

<file path=xl/calcChain.xml><?xml version="1.0" encoding="utf-8"?>
<calcChain xmlns="http://schemas.openxmlformats.org/spreadsheetml/2006/main">
  <c r="B1" i="165" l="1"/>
  <c r="J11" i="136" l="1"/>
  <c r="D38" i="135"/>
  <c r="J38" i="135" s="1"/>
  <c r="D37" i="135"/>
  <c r="J37" i="135" s="1"/>
  <c r="D36" i="135"/>
  <c r="J36" i="135" s="1"/>
  <c r="D41" i="146"/>
  <c r="J41" i="146" s="1"/>
  <c r="D40" i="146"/>
  <c r="J40" i="146" s="1"/>
  <c r="D39" i="146"/>
  <c r="J39" i="146" s="1"/>
  <c r="D38" i="146" l="1"/>
  <c r="J38" i="146" s="1"/>
  <c r="D37" i="146"/>
  <c r="J37" i="146" s="1"/>
  <c r="D36" i="146"/>
  <c r="J36" i="146" s="1"/>
  <c r="D35" i="146"/>
  <c r="J35" i="146" s="1"/>
  <c r="D34" i="146"/>
  <c r="J34" i="146" s="1"/>
  <c r="D33" i="146"/>
  <c r="J33" i="146" s="1"/>
  <c r="D35" i="135"/>
  <c r="J35" i="135" s="1"/>
  <c r="D34" i="135"/>
  <c r="J34" i="135" s="1"/>
  <c r="D33" i="135"/>
  <c r="J42" i="146" l="1"/>
  <c r="H15" i="51"/>
  <c r="N5" i="78"/>
  <c r="I91" i="8"/>
  <c r="I90" i="8"/>
  <c r="I89" i="8"/>
  <c r="I88" i="8"/>
  <c r="I87" i="8"/>
  <c r="I86" i="8"/>
  <c r="I85" i="8"/>
  <c r="I84" i="8"/>
  <c r="I83" i="8"/>
  <c r="I82" i="8"/>
  <c r="I81" i="8"/>
  <c r="I80" i="8"/>
  <c r="I79" i="8"/>
  <c r="I78" i="8"/>
  <c r="I77" i="8"/>
  <c r="I76" i="8"/>
  <c r="I75" i="8"/>
  <c r="I74" i="8"/>
  <c r="I73" i="8"/>
  <c r="I72" i="8"/>
  <c r="I71" i="8"/>
  <c r="I70" i="8"/>
  <c r="I69" i="8"/>
  <c r="I68" i="8"/>
  <c r="I67" i="8"/>
  <c r="I66" i="8"/>
  <c r="I65" i="8"/>
  <c r="I64" i="8"/>
  <c r="I61" i="8"/>
  <c r="I60" i="8"/>
  <c r="I59" i="8"/>
  <c r="I58" i="8"/>
  <c r="I57" i="8"/>
  <c r="I63" i="8"/>
  <c r="I56" i="8"/>
  <c r="H16" i="129" l="1"/>
  <c r="H14" i="129"/>
  <c r="H16" i="157"/>
  <c r="H14" i="157"/>
  <c r="H19" i="61"/>
  <c r="H17" i="61"/>
  <c r="H15" i="61"/>
  <c r="H19" i="48"/>
  <c r="H17" i="48"/>
  <c r="H15" i="48"/>
  <c r="H19" i="33"/>
  <c r="H17" i="33"/>
  <c r="H15" i="33"/>
  <c r="H19" i="22"/>
  <c r="H17" i="22"/>
  <c r="H15" i="22"/>
  <c r="K11" i="36"/>
  <c r="J11" i="36"/>
  <c r="E11" i="36" s="1"/>
  <c r="N11" i="36" s="1"/>
  <c r="I16" i="36"/>
  <c r="C91" i="8" l="1"/>
  <c r="C90" i="8"/>
  <c r="B89" i="8"/>
  <c r="B90" i="8"/>
  <c r="F91" i="8"/>
  <c r="F90" i="8"/>
  <c r="F89" i="8"/>
  <c r="F85" i="8"/>
  <c r="B91" i="8"/>
  <c r="C89" i="8"/>
  <c r="H15" i="166"/>
  <c r="I15" i="166"/>
  <c r="I16" i="166"/>
  <c r="I17" i="166" s="1"/>
  <c r="J11" i="166"/>
  <c r="N11" i="166" s="1"/>
  <c r="N12" i="166" s="1"/>
  <c r="J91" i="8" s="1"/>
  <c r="E11" i="166"/>
  <c r="B4" i="166"/>
  <c r="B3" i="166"/>
  <c r="I15" i="164"/>
  <c r="I17" i="164"/>
  <c r="I20" i="164"/>
  <c r="K90" i="8" s="1"/>
  <c r="I19" i="164"/>
  <c r="I18" i="164"/>
  <c r="I16" i="164"/>
  <c r="J11" i="164"/>
  <c r="E11" i="164" s="1"/>
  <c r="N11" i="164" s="1"/>
  <c r="N12" i="164"/>
  <c r="B4" i="164"/>
  <c r="B3" i="164"/>
  <c r="D36" i="163"/>
  <c r="J36" i="163" s="1"/>
  <c r="D37" i="163"/>
  <c r="J37" i="163"/>
  <c r="J38" i="163"/>
  <c r="D39" i="163"/>
  <c r="J39" i="163"/>
  <c r="D40" i="163"/>
  <c r="J40" i="163"/>
  <c r="A37" i="163"/>
  <c r="A38" i="163"/>
  <c r="A39" i="163"/>
  <c r="A40" i="163"/>
  <c r="I20" i="163"/>
  <c r="I21" i="163"/>
  <c r="I22" i="163"/>
  <c r="I23" i="163"/>
  <c r="I24" i="163"/>
  <c r="I25" i="163"/>
  <c r="I26" i="163"/>
  <c r="I27" i="163"/>
  <c r="I28" i="163"/>
  <c r="I29" i="163"/>
  <c r="I30" i="163"/>
  <c r="I31" i="163"/>
  <c r="I32" i="163"/>
  <c r="A26" i="163"/>
  <c r="A27" i="163"/>
  <c r="A28" i="163"/>
  <c r="A29" i="163" s="1"/>
  <c r="A30" i="163" s="1"/>
  <c r="A31" i="163"/>
  <c r="A32" i="163" s="1"/>
  <c r="D15" i="163"/>
  <c r="N15" i="163"/>
  <c r="N17" i="163" s="1"/>
  <c r="J89" i="8" s="1"/>
  <c r="D16" i="163"/>
  <c r="N16" i="163" s="1"/>
  <c r="D10" i="163"/>
  <c r="D11" i="163"/>
  <c r="B11" i="163"/>
  <c r="B10" i="163"/>
  <c r="F88" i="8"/>
  <c r="F87" i="8"/>
  <c r="F86" i="8"/>
  <c r="B84" i="8"/>
  <c r="B85" i="8"/>
  <c r="B86" i="8"/>
  <c r="B87" i="8"/>
  <c r="B88" i="8"/>
  <c r="C88" i="8"/>
  <c r="C87" i="8"/>
  <c r="C86" i="8"/>
  <c r="C85" i="8"/>
  <c r="F84" i="8"/>
  <c r="E88" i="8"/>
  <c r="E86" i="8"/>
  <c r="E87" i="8"/>
  <c r="E85" i="8"/>
  <c r="F73" i="8"/>
  <c r="E78" i="8" s="1"/>
  <c r="C84" i="8"/>
  <c r="H15" i="161"/>
  <c r="I15" i="161"/>
  <c r="I16" i="161"/>
  <c r="J11" i="161"/>
  <c r="N11" i="161"/>
  <c r="N12" i="161"/>
  <c r="J88" i="8" s="1"/>
  <c r="E11" i="161"/>
  <c r="J11" i="159"/>
  <c r="N11" i="159"/>
  <c r="N12" i="159"/>
  <c r="J87" i="8" s="1"/>
  <c r="H15" i="159"/>
  <c r="I15" i="159" s="1"/>
  <c r="I16" i="159"/>
  <c r="B4" i="161"/>
  <c r="B3" i="161"/>
  <c r="E11" i="159"/>
  <c r="B4" i="159"/>
  <c r="B3" i="159"/>
  <c r="I14" i="157"/>
  <c r="I15" i="157"/>
  <c r="I16" i="157"/>
  <c r="I17" i="157"/>
  <c r="I18" i="157"/>
  <c r="J11" i="157"/>
  <c r="E11" i="157" s="1"/>
  <c r="N11" i="157"/>
  <c r="N12" i="157" s="1"/>
  <c r="B4" i="157"/>
  <c r="J11" i="156"/>
  <c r="E11" i="156" s="1"/>
  <c r="B4" i="156"/>
  <c r="B3" i="156"/>
  <c r="D41" i="155"/>
  <c r="J41" i="155"/>
  <c r="D42" i="155"/>
  <c r="J42" i="155"/>
  <c r="J43" i="155"/>
  <c r="D44" i="155"/>
  <c r="J44" i="155" s="1"/>
  <c r="D45" i="155"/>
  <c r="J45" i="155"/>
  <c r="A42" i="155"/>
  <c r="A43" i="155" s="1"/>
  <c r="A44" i="155" s="1"/>
  <c r="A45" i="155"/>
  <c r="I22" i="155"/>
  <c r="I23" i="155"/>
  <c r="I24" i="155"/>
  <c r="I25" i="155"/>
  <c r="I26" i="155"/>
  <c r="I27" i="155"/>
  <c r="I28" i="155"/>
  <c r="I29" i="155"/>
  <c r="I30" i="155"/>
  <c r="I31" i="155"/>
  <c r="I32" i="155"/>
  <c r="I33" i="155"/>
  <c r="I34" i="155"/>
  <c r="I35" i="155"/>
  <c r="I36" i="155"/>
  <c r="I37" i="155"/>
  <c r="A23" i="155"/>
  <c r="A24" i="155" s="1"/>
  <c r="A25" i="155" s="1"/>
  <c r="A26" i="155"/>
  <c r="A27" i="155" s="1"/>
  <c r="A28" i="155" s="1"/>
  <c r="A29" i="155" s="1"/>
  <c r="A30" i="155" s="1"/>
  <c r="A31" i="155" s="1"/>
  <c r="A32" i="155" s="1"/>
  <c r="A33" i="155" s="1"/>
  <c r="A34" i="155" s="1"/>
  <c r="A35" i="155" s="1"/>
  <c r="A36" i="155" s="1"/>
  <c r="A37" i="155" s="1"/>
  <c r="D17" i="155"/>
  <c r="N17" i="155" s="1"/>
  <c r="D18" i="155"/>
  <c r="N18" i="155"/>
  <c r="N19" i="155"/>
  <c r="J84" i="8" s="1"/>
  <c r="D10" i="155"/>
  <c r="D11" i="155"/>
  <c r="D12" i="155"/>
  <c r="D13" i="155"/>
  <c r="B13" i="155"/>
  <c r="B12" i="155"/>
  <c r="B4" i="153"/>
  <c r="B4" i="151"/>
  <c r="B4" i="149"/>
  <c r="F79" i="8"/>
  <c r="F83" i="8"/>
  <c r="F82" i="8"/>
  <c r="F81" i="8"/>
  <c r="F80" i="8"/>
  <c r="C83" i="8"/>
  <c r="C82" i="8"/>
  <c r="C81" i="8"/>
  <c r="C80" i="8"/>
  <c r="C79" i="8"/>
  <c r="B83" i="8"/>
  <c r="B82" i="8"/>
  <c r="B81" i="8"/>
  <c r="B80" i="8"/>
  <c r="B79" i="8"/>
  <c r="H15" i="153"/>
  <c r="I15" i="153" s="1"/>
  <c r="I17" i="153" s="1"/>
  <c r="K83" i="8" s="1"/>
  <c r="I16" i="153"/>
  <c r="J11" i="153"/>
  <c r="E11" i="153" s="1"/>
  <c r="N11" i="153" s="1"/>
  <c r="N12" i="153" s="1"/>
  <c r="B3" i="153"/>
  <c r="I15" i="151"/>
  <c r="I16" i="151"/>
  <c r="I18" i="151" s="1"/>
  <c r="K82" i="8" s="1"/>
  <c r="I17" i="151"/>
  <c r="J11" i="151"/>
  <c r="E11" i="151"/>
  <c r="N11" i="151" s="1"/>
  <c r="N12" i="151" s="1"/>
  <c r="B3" i="151"/>
  <c r="I15" i="149"/>
  <c r="I16" i="149"/>
  <c r="I17" i="149"/>
  <c r="I18" i="149"/>
  <c r="I19" i="149"/>
  <c r="I20" i="149"/>
  <c r="I22" i="149"/>
  <c r="I21" i="149"/>
  <c r="J11" i="149"/>
  <c r="E11" i="149"/>
  <c r="N11" i="149"/>
  <c r="N12" i="149"/>
  <c r="J81" i="8" s="1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K80" i="8" s="1"/>
  <c r="I27" i="147"/>
  <c r="J11" i="147"/>
  <c r="E11" i="147"/>
  <c r="N11" i="147"/>
  <c r="N12" i="147" s="1"/>
  <c r="B4" i="147"/>
  <c r="B3" i="147"/>
  <c r="L79" i="8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D10" i="146"/>
  <c r="D13" i="146"/>
  <c r="D12" i="146"/>
  <c r="D11" i="146"/>
  <c r="B10" i="146"/>
  <c r="C13" i="135"/>
  <c r="K77" i="8"/>
  <c r="E75" i="8"/>
  <c r="E77" i="8"/>
  <c r="C78" i="8"/>
  <c r="C77" i="8"/>
  <c r="C76" i="8"/>
  <c r="C75" i="8"/>
  <c r="C74" i="8"/>
  <c r="C73" i="8"/>
  <c r="F78" i="8"/>
  <c r="F77" i="8"/>
  <c r="F76" i="8"/>
  <c r="F75" i="8"/>
  <c r="F74" i="8"/>
  <c r="B78" i="8"/>
  <c r="B77" i="8"/>
  <c r="B76" i="8"/>
  <c r="B75" i="8"/>
  <c r="B74" i="8"/>
  <c r="B73" i="8"/>
  <c r="F72" i="8"/>
  <c r="F71" i="8"/>
  <c r="F70" i="8"/>
  <c r="F69" i="8"/>
  <c r="E66" i="8"/>
  <c r="E67" i="8"/>
  <c r="E65" i="8"/>
  <c r="F68" i="8"/>
  <c r="E71" i="8" s="1"/>
  <c r="E70" i="8"/>
  <c r="E69" i="8"/>
  <c r="C72" i="8"/>
  <c r="B72" i="8"/>
  <c r="B13" i="127"/>
  <c r="B12" i="127"/>
  <c r="B4" i="133"/>
  <c r="B4" i="130"/>
  <c r="B4" i="129"/>
  <c r="F63" i="8"/>
  <c r="F62" i="8"/>
  <c r="C71" i="8"/>
  <c r="C70" i="8"/>
  <c r="C69" i="8"/>
  <c r="C68" i="8"/>
  <c r="B71" i="8"/>
  <c r="B70" i="8"/>
  <c r="B69" i="8"/>
  <c r="B68" i="8"/>
  <c r="B4" i="144"/>
  <c r="B4" i="142"/>
  <c r="B4" i="140"/>
  <c r="B4" i="138"/>
  <c r="H15" i="144"/>
  <c r="I15" i="144" s="1"/>
  <c r="I17" i="144" s="1"/>
  <c r="K78" i="8" s="1"/>
  <c r="I16" i="144"/>
  <c r="J11" i="144"/>
  <c r="E11" i="144"/>
  <c r="N11" i="144" s="1"/>
  <c r="N12" i="144" s="1"/>
  <c r="B3" i="144"/>
  <c r="I15" i="142"/>
  <c r="I16" i="142"/>
  <c r="I18" i="142"/>
  <c r="I17" i="142"/>
  <c r="J11" i="142"/>
  <c r="E11" i="142"/>
  <c r="N11" i="142"/>
  <c r="N12" i="142"/>
  <c r="N2" i="142" s="1"/>
  <c r="N5" i="142" s="1"/>
  <c r="B3" i="142"/>
  <c r="I15" i="140"/>
  <c r="I16" i="140"/>
  <c r="I17" i="140"/>
  <c r="I18" i="140"/>
  <c r="I19" i="140"/>
  <c r="I20" i="140"/>
  <c r="I22" i="140"/>
  <c r="I21" i="140"/>
  <c r="J11" i="140"/>
  <c r="E11" i="140" s="1"/>
  <c r="N11" i="140" s="1"/>
  <c r="N12" i="140" s="1"/>
  <c r="J76" i="8" s="1"/>
  <c r="B3" i="140"/>
  <c r="I15" i="138"/>
  <c r="I16" i="138"/>
  <c r="I17" i="138"/>
  <c r="I18" i="138"/>
  <c r="J11" i="138"/>
  <c r="E11" i="138" s="1"/>
  <c r="N11" i="138" s="1"/>
  <c r="N12" i="138" s="1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8" i="136"/>
  <c r="I27" i="136"/>
  <c r="E11" i="136"/>
  <c r="N11" i="136" s="1"/>
  <c r="N12" i="136" s="1"/>
  <c r="B4" i="136"/>
  <c r="B3" i="136"/>
  <c r="J33" i="135"/>
  <c r="J39" i="135" s="1"/>
  <c r="I19" i="135"/>
  <c r="I20" i="135"/>
  <c r="I21" i="135"/>
  <c r="I22" i="135"/>
  <c r="I23" i="135"/>
  <c r="I24" i="135"/>
  <c r="I25" i="135"/>
  <c r="I26" i="135"/>
  <c r="I27" i="135"/>
  <c r="I28" i="135"/>
  <c r="I29" i="135"/>
  <c r="D10" i="135"/>
  <c r="D11" i="135"/>
  <c r="D12" i="135"/>
  <c r="D13" i="135"/>
  <c r="D14" i="135"/>
  <c r="B10" i="135"/>
  <c r="J11" i="133"/>
  <c r="E11" i="133" s="1"/>
  <c r="J11" i="130"/>
  <c r="B4" i="116"/>
  <c r="B4" i="114"/>
  <c r="B4" i="113"/>
  <c r="D13" i="111"/>
  <c r="D12" i="111"/>
  <c r="D11" i="111"/>
  <c r="D10" i="111"/>
  <c r="D10" i="118"/>
  <c r="B4" i="126"/>
  <c r="B4" i="124"/>
  <c r="D10" i="122"/>
  <c r="D11" i="122"/>
  <c r="D12" i="122"/>
  <c r="I16" i="133"/>
  <c r="N11" i="133"/>
  <c r="N12" i="133" s="1"/>
  <c r="J72" i="8" s="1"/>
  <c r="H15" i="133"/>
  <c r="I15" i="133"/>
  <c r="B3" i="133"/>
  <c r="N11" i="130"/>
  <c r="N12" i="130"/>
  <c r="J71" i="8" s="1"/>
  <c r="I15" i="130"/>
  <c r="I16" i="130"/>
  <c r="B3" i="130"/>
  <c r="E11" i="130"/>
  <c r="J11" i="129"/>
  <c r="E11" i="129" s="1"/>
  <c r="N11" i="129" s="1"/>
  <c r="N12" i="129"/>
  <c r="I14" i="129"/>
  <c r="I15" i="129"/>
  <c r="I16" i="129"/>
  <c r="I17" i="129"/>
  <c r="I18" i="129"/>
  <c r="B3" i="128"/>
  <c r="B4" i="128"/>
  <c r="J11" i="128"/>
  <c r="E11" i="128" s="1"/>
  <c r="N11" i="128" s="1"/>
  <c r="N12" i="128"/>
  <c r="F15" i="128"/>
  <c r="I15" i="128" s="1"/>
  <c r="I16" i="128" s="1"/>
  <c r="K69" i="8" s="1"/>
  <c r="N2" i="127"/>
  <c r="N5" i="127"/>
  <c r="D17" i="127"/>
  <c r="N17" i="127"/>
  <c r="D18" i="127"/>
  <c r="N18" i="127"/>
  <c r="I22" i="127"/>
  <c r="A23" i="127"/>
  <c r="A24" i="127" s="1"/>
  <c r="I23" i="127"/>
  <c r="I24" i="127"/>
  <c r="A25" i="127"/>
  <c r="A26" i="127" s="1"/>
  <c r="I25" i="127"/>
  <c r="I26" i="127"/>
  <c r="A27" i="127"/>
  <c r="A28" i="127" s="1"/>
  <c r="A29" i="127" s="1"/>
  <c r="A30" i="127" s="1"/>
  <c r="A31" i="127" s="1"/>
  <c r="A32" i="127" s="1"/>
  <c r="A33" i="127" s="1"/>
  <c r="A34" i="127" s="1"/>
  <c r="A35" i="127" s="1"/>
  <c r="A36" i="127" s="1"/>
  <c r="A37" i="127" s="1"/>
  <c r="I27" i="127"/>
  <c r="I28" i="127"/>
  <c r="I29" i="127"/>
  <c r="I30" i="127"/>
  <c r="I31" i="127"/>
  <c r="I32" i="127"/>
  <c r="I33" i="127"/>
  <c r="I34" i="127"/>
  <c r="I35" i="127"/>
  <c r="I36" i="127"/>
  <c r="I37" i="127"/>
  <c r="D41" i="127"/>
  <c r="J41" i="127" s="1"/>
  <c r="A42" i="127"/>
  <c r="A43" i="127" s="1"/>
  <c r="A44" i="127" s="1"/>
  <c r="A45" i="127" s="1"/>
  <c r="D42" i="127"/>
  <c r="J42" i="127"/>
  <c r="J43" i="127"/>
  <c r="D44" i="127"/>
  <c r="J44" i="127"/>
  <c r="D45" i="127"/>
  <c r="J45" i="127"/>
  <c r="C67" i="8"/>
  <c r="C66" i="8"/>
  <c r="C65" i="8"/>
  <c r="C64" i="8"/>
  <c r="B64" i="8"/>
  <c r="B65" i="8"/>
  <c r="B67" i="8"/>
  <c r="J66" i="8"/>
  <c r="B66" i="8"/>
  <c r="J64" i="8"/>
  <c r="I15" i="126"/>
  <c r="I16" i="126"/>
  <c r="I18" i="126"/>
  <c r="J11" i="126"/>
  <c r="E11" i="126"/>
  <c r="N11" i="126" s="1"/>
  <c r="N12" i="126" s="1"/>
  <c r="B3" i="126"/>
  <c r="I15" i="124"/>
  <c r="I17" i="124" s="1"/>
  <c r="K66" i="8" s="1"/>
  <c r="I16" i="124"/>
  <c r="J11" i="124"/>
  <c r="N11" i="124"/>
  <c r="N12" i="124" s="1"/>
  <c r="E11" i="124"/>
  <c r="B3" i="124"/>
  <c r="I16" i="123"/>
  <c r="I17" i="123"/>
  <c r="K65" i="8" s="1"/>
  <c r="H65" i="8" s="1"/>
  <c r="N65" i="8" s="1"/>
  <c r="J11" i="123"/>
  <c r="E11" i="123" s="1"/>
  <c r="N11" i="123" s="1"/>
  <c r="N12" i="123"/>
  <c r="J65" i="8" s="1"/>
  <c r="B4" i="123"/>
  <c r="B3" i="123"/>
  <c r="I40" i="122"/>
  <c r="I41" i="122"/>
  <c r="M64" i="8" s="1"/>
  <c r="D34" i="122"/>
  <c r="J34" i="122" s="1"/>
  <c r="J37" i="122" s="1"/>
  <c r="L64" i="8" s="1"/>
  <c r="J35" i="122"/>
  <c r="D36" i="122"/>
  <c r="J36" i="122"/>
  <c r="F21" i="122"/>
  <c r="I21" i="122" s="1"/>
  <c r="I31" i="122" s="1"/>
  <c r="K64" i="8" s="1"/>
  <c r="I22" i="122"/>
  <c r="I23" i="122"/>
  <c r="I30" i="122"/>
  <c r="I29" i="122"/>
  <c r="I28" i="122"/>
  <c r="I27" i="122"/>
  <c r="I26" i="122"/>
  <c r="I25" i="122"/>
  <c r="I24" i="122"/>
  <c r="N16" i="122"/>
  <c r="N18" i="122" s="1"/>
  <c r="N17" i="122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62" i="8"/>
  <c r="K50" i="8"/>
  <c r="I23" i="107"/>
  <c r="I24" i="107"/>
  <c r="I25" i="107"/>
  <c r="F56" i="8"/>
  <c r="F57" i="8"/>
  <c r="F55" i="8"/>
  <c r="E56" i="8" s="1"/>
  <c r="C62" i="8"/>
  <c r="C63" i="8"/>
  <c r="B62" i="8"/>
  <c r="B63" i="8"/>
  <c r="E63" i="8"/>
  <c r="N14" i="118"/>
  <c r="N15" i="118"/>
  <c r="N16" i="118"/>
  <c r="N17" i="118"/>
  <c r="N18" i="118" s="1"/>
  <c r="J62" i="8" s="1"/>
  <c r="H62" i="8" s="1"/>
  <c r="N62" i="8" s="1"/>
  <c r="M62" i="8"/>
  <c r="I15" i="119"/>
  <c r="I16" i="119"/>
  <c r="I17" i="119"/>
  <c r="I22" i="119" s="1"/>
  <c r="K63" i="8" s="1"/>
  <c r="I18" i="119"/>
  <c r="I19" i="119"/>
  <c r="I20" i="119"/>
  <c r="I21" i="119"/>
  <c r="J11" i="119"/>
  <c r="E11" i="119"/>
  <c r="N11" i="119"/>
  <c r="N12" i="119" s="1"/>
  <c r="B4" i="119"/>
  <c r="B3" i="119"/>
  <c r="I40" i="118"/>
  <c r="I41" i="118"/>
  <c r="D34" i="118"/>
  <c r="J34" i="118"/>
  <c r="J35" i="118"/>
  <c r="D36" i="118"/>
  <c r="J36" i="118"/>
  <c r="J37" i="118"/>
  <c r="L62" i="8" s="1"/>
  <c r="I23" i="118"/>
  <c r="I24" i="118"/>
  <c r="I25" i="118"/>
  <c r="I31" i="118"/>
  <c r="K62" i="8" s="1"/>
  <c r="I30" i="118"/>
  <c r="I29" i="118"/>
  <c r="I28" i="118"/>
  <c r="I27" i="118"/>
  <c r="I26" i="118"/>
  <c r="I22" i="118"/>
  <c r="F21" i="118"/>
  <c r="I21" i="118"/>
  <c r="J61" i="8"/>
  <c r="H61" i="8" s="1"/>
  <c r="N61" i="8" s="1"/>
  <c r="C61" i="8"/>
  <c r="B61" i="8"/>
  <c r="C60" i="8"/>
  <c r="B60" i="8"/>
  <c r="C59" i="8"/>
  <c r="B59" i="8"/>
  <c r="C58" i="8"/>
  <c r="N17" i="111"/>
  <c r="N18" i="111"/>
  <c r="N19" i="111" s="1"/>
  <c r="J57" i="8" s="1"/>
  <c r="I41" i="111"/>
  <c r="I42" i="111"/>
  <c r="M57" i="8" s="1"/>
  <c r="C57" i="8"/>
  <c r="I15" i="116"/>
  <c r="I16" i="116"/>
  <c r="I18" i="116"/>
  <c r="I19" i="116"/>
  <c r="K61" i="8" s="1"/>
  <c r="J11" i="116"/>
  <c r="E11" i="116" s="1"/>
  <c r="N11" i="116" s="1"/>
  <c r="N12" i="116" s="1"/>
  <c r="N2" i="116"/>
  <c r="N5" i="116" s="1"/>
  <c r="B3" i="116"/>
  <c r="I15" i="114"/>
  <c r="I16" i="114"/>
  <c r="J11" i="114"/>
  <c r="E11" i="114" s="1"/>
  <c r="N11" i="114"/>
  <c r="N12" i="114" s="1"/>
  <c r="B3" i="114"/>
  <c r="I16" i="113"/>
  <c r="I17" i="113"/>
  <c r="K59" i="8" s="1"/>
  <c r="J11" i="113"/>
  <c r="E11" i="113" s="1"/>
  <c r="N11" i="113" s="1"/>
  <c r="N12" i="113" s="1"/>
  <c r="B3" i="113"/>
  <c r="I16" i="112"/>
  <c r="I17" i="112"/>
  <c r="K58" i="8" s="1"/>
  <c r="J11" i="112"/>
  <c r="E11" i="112" s="1"/>
  <c r="N11" i="112"/>
  <c r="N12" i="112" s="1"/>
  <c r="B4" i="112"/>
  <c r="B3" i="112"/>
  <c r="D35" i="111"/>
  <c r="J35" i="111" s="1"/>
  <c r="J36" i="111"/>
  <c r="D37" i="111"/>
  <c r="J37" i="111" s="1"/>
  <c r="I22" i="111"/>
  <c r="I23" i="111"/>
  <c r="I24" i="111"/>
  <c r="I31" i="111"/>
  <c r="I30" i="111"/>
  <c r="I29" i="111"/>
  <c r="I28" i="111"/>
  <c r="I27" i="111"/>
  <c r="I26" i="111"/>
  <c r="I25" i="111"/>
  <c r="C13" i="111"/>
  <c r="E13" i="111"/>
  <c r="C56" i="8"/>
  <c r="N14" i="107"/>
  <c r="N15" i="107"/>
  <c r="N18" i="107" s="1"/>
  <c r="J55" i="8" s="1"/>
  <c r="N16" i="107"/>
  <c r="N17" i="107"/>
  <c r="J34" i="107"/>
  <c r="J37" i="107" s="1"/>
  <c r="L55" i="8" s="1"/>
  <c r="J35" i="107"/>
  <c r="M55" i="8"/>
  <c r="I15" i="108"/>
  <c r="I22" i="108" s="1"/>
  <c r="K56" i="8" s="1"/>
  <c r="I16" i="108"/>
  <c r="I17" i="108"/>
  <c r="I18" i="108"/>
  <c r="I19" i="108"/>
  <c r="I20" i="108"/>
  <c r="I21" i="108"/>
  <c r="J11" i="108"/>
  <c r="E11" i="108"/>
  <c r="N11" i="108" s="1"/>
  <c r="N12" i="108" s="1"/>
  <c r="B4" i="108"/>
  <c r="B3" i="108"/>
  <c r="I40" i="107"/>
  <c r="I41" i="107"/>
  <c r="D34" i="107"/>
  <c r="D36" i="107"/>
  <c r="J36" i="107" s="1"/>
  <c r="I30" i="107"/>
  <c r="I29" i="107"/>
  <c r="I28" i="107"/>
  <c r="I27" i="107"/>
  <c r="I26" i="107"/>
  <c r="I22" i="107"/>
  <c r="F21" i="107"/>
  <c r="I21" i="107"/>
  <c r="D10" i="107"/>
  <c r="J11" i="103"/>
  <c r="J11" i="105"/>
  <c r="I16" i="105"/>
  <c r="I17" i="105"/>
  <c r="I18" i="105"/>
  <c r="I19" i="105"/>
  <c r="B3" i="105"/>
  <c r="I16" i="103"/>
  <c r="I17" i="103"/>
  <c r="I18" i="103"/>
  <c r="I19" i="103"/>
  <c r="F20" i="103"/>
  <c r="I20" i="103"/>
  <c r="I21" i="103"/>
  <c r="K53" i="8" s="1"/>
  <c r="N11" i="103"/>
  <c r="E12" i="103"/>
  <c r="N12" i="103"/>
  <c r="N13" i="103"/>
  <c r="E11" i="103"/>
  <c r="B3" i="103"/>
  <c r="J11" i="101"/>
  <c r="I16" i="101"/>
  <c r="I17" i="101"/>
  <c r="I18" i="101"/>
  <c r="I19" i="101"/>
  <c r="F20" i="101"/>
  <c r="I20" i="101"/>
  <c r="I21" i="101"/>
  <c r="K52" i="8" s="1"/>
  <c r="N11" i="101"/>
  <c r="E12" i="101"/>
  <c r="N12" i="101"/>
  <c r="N13" i="101"/>
  <c r="E11" i="101"/>
  <c r="B3" i="101"/>
  <c r="B3" i="99"/>
  <c r="J11" i="99"/>
  <c r="J11" i="97"/>
  <c r="E11" i="97" s="1"/>
  <c r="J11" i="95"/>
  <c r="E12" i="95" s="1"/>
  <c r="N12" i="95" s="1"/>
  <c r="J11" i="93"/>
  <c r="F20" i="99"/>
  <c r="F20" i="97"/>
  <c r="I20" i="97" s="1"/>
  <c r="F20" i="95"/>
  <c r="I20" i="95" s="1"/>
  <c r="F20" i="93"/>
  <c r="F20" i="78"/>
  <c r="F20" i="76"/>
  <c r="F20" i="74"/>
  <c r="I20" i="74" s="1"/>
  <c r="J11" i="91"/>
  <c r="E12" i="91" s="1"/>
  <c r="N12" i="91" s="1"/>
  <c r="I16" i="99"/>
  <c r="I17" i="99"/>
  <c r="I18" i="99"/>
  <c r="I19" i="99"/>
  <c r="I20" i="99"/>
  <c r="N11" i="99"/>
  <c r="E12" i="99"/>
  <c r="N12" i="99"/>
  <c r="E11" i="99"/>
  <c r="I15" i="65"/>
  <c r="I16" i="65" s="1"/>
  <c r="J11" i="65"/>
  <c r="N11" i="65" s="1"/>
  <c r="N12" i="65"/>
  <c r="N2" i="65" s="1"/>
  <c r="C16" i="59" s="1"/>
  <c r="E16" i="59" s="1"/>
  <c r="B3" i="70"/>
  <c r="I15" i="70"/>
  <c r="I16" i="70"/>
  <c r="J11" i="70"/>
  <c r="E11" i="70" s="1"/>
  <c r="N11" i="70" s="1"/>
  <c r="N12" i="70" s="1"/>
  <c r="J11" i="57"/>
  <c r="E11" i="57" s="1"/>
  <c r="N11" i="57" s="1"/>
  <c r="N12" i="57" s="1"/>
  <c r="J37" i="8" s="1"/>
  <c r="I15" i="57"/>
  <c r="I16" i="57"/>
  <c r="I17" i="57" s="1"/>
  <c r="K37" i="8" s="1"/>
  <c r="B3" i="57"/>
  <c r="J11" i="63"/>
  <c r="J11" i="62"/>
  <c r="I20" i="61"/>
  <c r="I19" i="61"/>
  <c r="I18" i="61"/>
  <c r="I17" i="61"/>
  <c r="I16" i="61"/>
  <c r="I15" i="61"/>
  <c r="D11" i="61"/>
  <c r="J11" i="61"/>
  <c r="R13" i="61" s="1"/>
  <c r="E11" i="61"/>
  <c r="N11" i="61" s="1"/>
  <c r="N12" i="61" s="1"/>
  <c r="J45" i="8" s="1"/>
  <c r="I16" i="60"/>
  <c r="I22" i="60"/>
  <c r="I21" i="60"/>
  <c r="I20" i="60"/>
  <c r="I19" i="60"/>
  <c r="I18" i="60"/>
  <c r="I23" i="60" s="1"/>
  <c r="K44" i="8" s="1"/>
  <c r="I17" i="60"/>
  <c r="I15" i="60"/>
  <c r="N11" i="60"/>
  <c r="N12" i="60"/>
  <c r="J44" i="8" s="1"/>
  <c r="H44" i="8" s="1"/>
  <c r="N44" i="8" s="1"/>
  <c r="J11" i="60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I52" i="59" s="1"/>
  <c r="K43" i="8" s="1"/>
  <c r="D11" i="59"/>
  <c r="D12" i="59"/>
  <c r="D13" i="59"/>
  <c r="D14" i="59"/>
  <c r="D15" i="59"/>
  <c r="D16" i="59"/>
  <c r="D17" i="59"/>
  <c r="D18" i="59"/>
  <c r="D19" i="59"/>
  <c r="D20" i="59"/>
  <c r="D10" i="59"/>
  <c r="B20" i="59"/>
  <c r="B19" i="59"/>
  <c r="B18" i="59"/>
  <c r="B17" i="59"/>
  <c r="B16" i="59"/>
  <c r="B15" i="59"/>
  <c r="B14" i="59"/>
  <c r="B13" i="59"/>
  <c r="B12" i="59"/>
  <c r="B11" i="59"/>
  <c r="B10" i="59"/>
  <c r="F61" i="59"/>
  <c r="I61" i="59" s="1"/>
  <c r="I62" i="59" s="1"/>
  <c r="M43" i="8" s="1"/>
  <c r="D55" i="59"/>
  <c r="J55" i="59" s="1"/>
  <c r="D56" i="59"/>
  <c r="J56" i="59" s="1"/>
  <c r="J57" i="59"/>
  <c r="F61" i="46"/>
  <c r="I61" i="46" s="1"/>
  <c r="I62" i="46" s="1"/>
  <c r="M31" i="8" s="1"/>
  <c r="D24" i="59"/>
  <c r="N24" i="59"/>
  <c r="N27" i="59" s="1"/>
  <c r="J43" i="8" s="1"/>
  <c r="N25" i="59"/>
  <c r="N26" i="59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9" i="8"/>
  <c r="E50" i="8"/>
  <c r="E52" i="8"/>
  <c r="E54" i="8"/>
  <c r="C54" i="8"/>
  <c r="C53" i="8"/>
  <c r="C52" i="8"/>
  <c r="C51" i="8"/>
  <c r="C50" i="8"/>
  <c r="C49" i="8"/>
  <c r="C48" i="8"/>
  <c r="C47" i="8"/>
  <c r="C46" i="8"/>
  <c r="C45" i="8"/>
  <c r="C44" i="8"/>
  <c r="C43" i="8"/>
  <c r="F31" i="8"/>
  <c r="B92" i="8"/>
  <c r="N11" i="91"/>
  <c r="N13" i="91" s="1"/>
  <c r="J39" i="8" s="1"/>
  <c r="N11" i="93"/>
  <c r="E12" i="93"/>
  <c r="N12" i="93"/>
  <c r="N13" i="93"/>
  <c r="N11" i="97"/>
  <c r="I20" i="76"/>
  <c r="I20" i="78"/>
  <c r="I17" i="91"/>
  <c r="I20" i="93"/>
  <c r="I17" i="93"/>
  <c r="I17" i="95"/>
  <c r="I17" i="97"/>
  <c r="I15" i="52"/>
  <c r="J11" i="52"/>
  <c r="N11" i="52" s="1"/>
  <c r="N12" i="52" s="1"/>
  <c r="I20" i="48"/>
  <c r="I19" i="48"/>
  <c r="I18" i="48"/>
  <c r="I17" i="48"/>
  <c r="I16" i="48"/>
  <c r="I15" i="48"/>
  <c r="D11" i="48"/>
  <c r="N11" i="48" s="1"/>
  <c r="J11" i="48"/>
  <c r="E11" i="48"/>
  <c r="D11" i="47"/>
  <c r="N11" i="47" s="1"/>
  <c r="J11" i="47"/>
  <c r="I16" i="47"/>
  <c r="I22" i="47"/>
  <c r="I24" i="47"/>
  <c r="I25" i="47"/>
  <c r="I23" i="47"/>
  <c r="I21" i="47"/>
  <c r="I20" i="47"/>
  <c r="I19" i="47"/>
  <c r="I18" i="47"/>
  <c r="I17" i="47"/>
  <c r="I15" i="47"/>
  <c r="I26" i="47" s="1"/>
  <c r="K32" i="8" s="1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 s="1"/>
  <c r="N27" i="46" s="1"/>
  <c r="J31" i="8" s="1"/>
  <c r="N25" i="46"/>
  <c r="N26" i="46"/>
  <c r="D20" i="46"/>
  <c r="D19" i="46"/>
  <c r="D18" i="46"/>
  <c r="D17" i="46"/>
  <c r="B20" i="46"/>
  <c r="B19" i="46"/>
  <c r="B18" i="46"/>
  <c r="B17" i="46"/>
  <c r="F42" i="8"/>
  <c r="F41" i="8"/>
  <c r="F40" i="8"/>
  <c r="F39" i="8"/>
  <c r="F38" i="8"/>
  <c r="C42" i="8"/>
  <c r="C41" i="8"/>
  <c r="C40" i="8"/>
  <c r="C39" i="8"/>
  <c r="E39" i="8"/>
  <c r="E40" i="8"/>
  <c r="I16" i="97"/>
  <c r="I21" i="97" s="1"/>
  <c r="K42" i="8" s="1"/>
  <c r="I18" i="97"/>
  <c r="I19" i="97"/>
  <c r="B3" i="97"/>
  <c r="I16" i="95"/>
  <c r="I21" i="95" s="1"/>
  <c r="K41" i="8" s="1"/>
  <c r="I18" i="95"/>
  <c r="I19" i="95"/>
  <c r="E11" i="95"/>
  <c r="B3" i="95"/>
  <c r="I16" i="93"/>
  <c r="I18" i="93"/>
  <c r="I19" i="93"/>
  <c r="E11" i="93"/>
  <c r="B3" i="93"/>
  <c r="I16" i="91"/>
  <c r="I18" i="91"/>
  <c r="I19" i="91"/>
  <c r="E11" i="91"/>
  <c r="B3" i="91"/>
  <c r="F30" i="8"/>
  <c r="F29" i="8"/>
  <c r="F28" i="8"/>
  <c r="F27" i="8"/>
  <c r="J11" i="87"/>
  <c r="N11" i="87" s="1"/>
  <c r="I17" i="83"/>
  <c r="I17" i="89"/>
  <c r="E12" i="87"/>
  <c r="N12" i="87"/>
  <c r="N13" i="87" s="1"/>
  <c r="J29" i="8" s="1"/>
  <c r="I17" i="87"/>
  <c r="I17" i="85"/>
  <c r="J11" i="85"/>
  <c r="N11" i="85" s="1"/>
  <c r="J11" i="83"/>
  <c r="I16" i="89"/>
  <c r="I18" i="89"/>
  <c r="I19" i="89"/>
  <c r="J11" i="89"/>
  <c r="B3" i="89"/>
  <c r="I16" i="87"/>
  <c r="I18" i="87"/>
  <c r="I19" i="87"/>
  <c r="E11" i="87"/>
  <c r="B3" i="87"/>
  <c r="I16" i="85"/>
  <c r="I18" i="85"/>
  <c r="I19" i="85"/>
  <c r="E12" i="85"/>
  <c r="N12" i="85" s="1"/>
  <c r="N13" i="85"/>
  <c r="E11" i="85"/>
  <c r="B3" i="85"/>
  <c r="B3" i="83"/>
  <c r="I16" i="83"/>
  <c r="I18" i="83"/>
  <c r="I19" i="83"/>
  <c r="E12" i="83"/>
  <c r="N12" i="83"/>
  <c r="F61" i="31"/>
  <c r="I61" i="31" s="1"/>
  <c r="I62" i="31" s="1"/>
  <c r="M19" i="8" s="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15" i="37"/>
  <c r="J11" i="37"/>
  <c r="N11" i="37"/>
  <c r="N12" i="37" s="1"/>
  <c r="N2" i="37" s="1"/>
  <c r="J11" i="44"/>
  <c r="E11" i="44" s="1"/>
  <c r="N11" i="44" s="1"/>
  <c r="N12" i="44" s="1"/>
  <c r="J25" i="8" s="1"/>
  <c r="I16" i="44"/>
  <c r="I15" i="44"/>
  <c r="I17" i="44" s="1"/>
  <c r="I15" i="36"/>
  <c r="I15" i="33"/>
  <c r="I16" i="33"/>
  <c r="I17" i="33"/>
  <c r="I18" i="33"/>
  <c r="I19" i="33"/>
  <c r="I20" i="33"/>
  <c r="D11" i="33"/>
  <c r="J11" i="33"/>
  <c r="E11" i="33"/>
  <c r="D11" i="31"/>
  <c r="N12" i="36"/>
  <c r="D14" i="31"/>
  <c r="D15" i="31"/>
  <c r="I16" i="37"/>
  <c r="K26" i="8" s="1"/>
  <c r="C16" i="31"/>
  <c r="D16" i="31"/>
  <c r="D10" i="31"/>
  <c r="D12" i="31"/>
  <c r="D13" i="31"/>
  <c r="D24" i="31"/>
  <c r="N24" i="31"/>
  <c r="N27" i="31" s="1"/>
  <c r="J19" i="8" s="1"/>
  <c r="N25" i="31"/>
  <c r="N26" i="31"/>
  <c r="D55" i="31"/>
  <c r="J55" i="31" s="1"/>
  <c r="D56" i="31"/>
  <c r="J56" i="31" s="1"/>
  <c r="J57" i="31"/>
  <c r="I16" i="32"/>
  <c r="I22" i="32"/>
  <c r="I21" i="32"/>
  <c r="I20" i="32"/>
  <c r="I19" i="32"/>
  <c r="I18" i="32"/>
  <c r="I23" i="32" s="1"/>
  <c r="K20" i="8" s="1"/>
  <c r="I17" i="32"/>
  <c r="I15" i="32"/>
  <c r="J11" i="32"/>
  <c r="C30" i="8"/>
  <c r="C29" i="8"/>
  <c r="C28" i="8"/>
  <c r="C27" i="8"/>
  <c r="E33" i="8"/>
  <c r="E35" i="8"/>
  <c r="E37" i="8"/>
  <c r="E32" i="8"/>
  <c r="F19" i="8"/>
  <c r="D20" i="31"/>
  <c r="D19" i="31"/>
  <c r="D18" i="31"/>
  <c r="D17" i="31"/>
  <c r="B20" i="31"/>
  <c r="B19" i="31"/>
  <c r="B18" i="31"/>
  <c r="B17" i="31"/>
  <c r="B10" i="31"/>
  <c r="B11" i="31"/>
  <c r="B12" i="31"/>
  <c r="B13" i="31"/>
  <c r="B14" i="31"/>
  <c r="B15" i="31"/>
  <c r="B16" i="31"/>
  <c r="I17" i="72"/>
  <c r="D17" i="20"/>
  <c r="I17" i="74"/>
  <c r="D18" i="20"/>
  <c r="I17" i="76"/>
  <c r="D19" i="20"/>
  <c r="C20" i="20"/>
  <c r="E20" i="20" s="1"/>
  <c r="D20" i="20"/>
  <c r="D16" i="20"/>
  <c r="D10" i="20"/>
  <c r="D11" i="20"/>
  <c r="D12" i="20"/>
  <c r="D13" i="20"/>
  <c r="I16" i="25"/>
  <c r="D14" i="20"/>
  <c r="D15" i="20"/>
  <c r="N13" i="74"/>
  <c r="J16" i="8" s="1"/>
  <c r="I17" i="78"/>
  <c r="F15" i="8"/>
  <c r="F18" i="8"/>
  <c r="F17" i="8"/>
  <c r="F16" i="8"/>
  <c r="C17" i="8"/>
  <c r="B20" i="20"/>
  <c r="B19" i="20"/>
  <c r="B18" i="20"/>
  <c r="B17" i="20"/>
  <c r="D55" i="20"/>
  <c r="J55" i="20" s="1"/>
  <c r="D56" i="20"/>
  <c r="J56" i="20" s="1"/>
  <c r="J57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15" i="22"/>
  <c r="I17" i="22"/>
  <c r="I15" i="25"/>
  <c r="I15" i="42"/>
  <c r="D24" i="20"/>
  <c r="N24" i="20" s="1"/>
  <c r="N27" i="20" s="1"/>
  <c r="J7" i="8" s="1"/>
  <c r="N25" i="20"/>
  <c r="N26" i="20"/>
  <c r="I19" i="78"/>
  <c r="I18" i="78"/>
  <c r="I16" i="78"/>
  <c r="E12" i="78"/>
  <c r="N12" i="78" s="1"/>
  <c r="N11" i="78"/>
  <c r="N13" i="78" s="1"/>
  <c r="J18" i="8" s="1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 s="1"/>
  <c r="E12" i="74"/>
  <c r="N12" i="74" s="1"/>
  <c r="I19" i="74"/>
  <c r="I18" i="74"/>
  <c r="I16" i="74"/>
  <c r="N11" i="74"/>
  <c r="E11" i="74"/>
  <c r="B4" i="74"/>
  <c r="B3" i="74"/>
  <c r="I16" i="72"/>
  <c r="I19" i="72"/>
  <c r="I18" i="72"/>
  <c r="J11" i="72"/>
  <c r="F20" i="72" s="1"/>
  <c r="I20" i="72" s="1"/>
  <c r="N11" i="72"/>
  <c r="E11" i="72"/>
  <c r="B4" i="72"/>
  <c r="B3" i="72"/>
  <c r="F7" i="8"/>
  <c r="E16" i="8" s="1"/>
  <c r="E15" i="8"/>
  <c r="E18" i="8"/>
  <c r="C18" i="8"/>
  <c r="C16" i="8"/>
  <c r="C15" i="8"/>
  <c r="J11" i="26"/>
  <c r="N11" i="26" s="1"/>
  <c r="I15" i="26"/>
  <c r="I16" i="42"/>
  <c r="J11" i="42"/>
  <c r="E11" i="42" s="1"/>
  <c r="N11" i="42" s="1"/>
  <c r="N12" i="42" s="1"/>
  <c r="J13" i="8" s="1"/>
  <c r="J11" i="25"/>
  <c r="E11" i="25" s="1"/>
  <c r="N11" i="25" s="1"/>
  <c r="N12" i="25" s="1"/>
  <c r="I20" i="22"/>
  <c r="I19" i="22"/>
  <c r="I18" i="22"/>
  <c r="I16" i="22"/>
  <c r="J11" i="22"/>
  <c r="E11" i="22" s="1"/>
  <c r="I24" i="21"/>
  <c r="I16" i="21"/>
  <c r="I17" i="21"/>
  <c r="I18" i="21"/>
  <c r="I19" i="21"/>
  <c r="I20" i="21"/>
  <c r="I21" i="21"/>
  <c r="I22" i="21"/>
  <c r="I23" i="21"/>
  <c r="I25" i="21"/>
  <c r="N11" i="21"/>
  <c r="N12" i="21" s="1"/>
  <c r="D11" i="21"/>
  <c r="J11" i="21"/>
  <c r="F61" i="20"/>
  <c r="I61" i="20" s="1"/>
  <c r="I62" i="20" s="1"/>
  <c r="M7" i="8" s="1"/>
  <c r="B3" i="65"/>
  <c r="I15" i="64"/>
  <c r="I16" i="64"/>
  <c r="I17" i="64" s="1"/>
  <c r="K48" i="8" s="1"/>
  <c r="J11" i="64"/>
  <c r="E11" i="64" s="1"/>
  <c r="N11" i="64" s="1"/>
  <c r="N12" i="64" s="1"/>
  <c r="B3" i="64"/>
  <c r="B3" i="63"/>
  <c r="B3" i="62"/>
  <c r="R14" i="61"/>
  <c r="B3" i="61"/>
  <c r="B3" i="60"/>
  <c r="J11" i="51"/>
  <c r="E11" i="51"/>
  <c r="N11" i="51" s="1"/>
  <c r="N12" i="51" s="1"/>
  <c r="D55" i="46"/>
  <c r="J55" i="46" s="1"/>
  <c r="D56" i="46"/>
  <c r="J56" i="46"/>
  <c r="J57" i="46"/>
  <c r="I16" i="52"/>
  <c r="K38" i="8" s="1"/>
  <c r="I15" i="50"/>
  <c r="I16" i="50" s="1"/>
  <c r="K35" i="8" s="1"/>
  <c r="I21" i="48"/>
  <c r="E11" i="50"/>
  <c r="D11" i="50" s="1"/>
  <c r="N11" i="50" s="1"/>
  <c r="N12" i="50" s="1"/>
  <c r="N12" i="48"/>
  <c r="J33" i="8" s="1"/>
  <c r="N12" i="47"/>
  <c r="J32" i="8" s="1"/>
  <c r="H32" i="8" s="1"/>
  <c r="N32" i="8" s="1"/>
  <c r="D14" i="46"/>
  <c r="D10" i="46"/>
  <c r="D11" i="46"/>
  <c r="D12" i="46"/>
  <c r="D13" i="46"/>
  <c r="D16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J11" i="23"/>
  <c r="F15" i="23"/>
  <c r="I15" i="23"/>
  <c r="J11" i="50"/>
  <c r="F15" i="50" s="1"/>
  <c r="J11" i="49"/>
  <c r="F15" i="49" s="1"/>
  <c r="I15" i="49" s="1"/>
  <c r="I16" i="49" s="1"/>
  <c r="K34" i="8" s="1"/>
  <c r="D15" i="46"/>
  <c r="B15" i="46"/>
  <c r="B1" i="55"/>
  <c r="B1" i="53"/>
  <c r="B1" i="54"/>
  <c r="B1" i="56"/>
  <c r="B3" i="52"/>
  <c r="I15" i="51"/>
  <c r="I17" i="51" s="1"/>
  <c r="K36" i="8" s="1"/>
  <c r="I16" i="51"/>
  <c r="B3" i="51"/>
  <c r="B3" i="50"/>
  <c r="B3" i="49"/>
  <c r="R13" i="48"/>
  <c r="B3" i="48"/>
  <c r="B3" i="47"/>
  <c r="B16" i="46"/>
  <c r="B14" i="46"/>
  <c r="B13" i="46"/>
  <c r="B12" i="46"/>
  <c r="B11" i="46"/>
  <c r="B10" i="46"/>
  <c r="C25" i="8"/>
  <c r="F25" i="8"/>
  <c r="B1" i="45"/>
  <c r="B1" i="41"/>
  <c r="B3" i="44"/>
  <c r="C13" i="8"/>
  <c r="F13" i="8"/>
  <c r="B1" i="30"/>
  <c r="B1" i="43"/>
  <c r="I16" i="23"/>
  <c r="K10" i="8" s="1"/>
  <c r="E11" i="23"/>
  <c r="D11" i="23" s="1"/>
  <c r="N11" i="23" s="1"/>
  <c r="N12" i="23" s="1"/>
  <c r="I16" i="26"/>
  <c r="K14" i="8" s="1"/>
  <c r="N12" i="26"/>
  <c r="J14" i="8" s="1"/>
  <c r="I15" i="21"/>
  <c r="I26" i="21" s="1"/>
  <c r="K8" i="8" s="1"/>
  <c r="B4" i="42"/>
  <c r="B3" i="42"/>
  <c r="C14" i="8"/>
  <c r="E22" i="8"/>
  <c r="E23" i="8"/>
  <c r="E20" i="8"/>
  <c r="J11" i="35"/>
  <c r="J11" i="34"/>
  <c r="F15" i="34" s="1"/>
  <c r="I15" i="34" s="1"/>
  <c r="I16" i="34" s="1"/>
  <c r="K22" i="8" s="1"/>
  <c r="J11" i="24"/>
  <c r="F15" i="24" s="1"/>
  <c r="I15" i="24" s="1"/>
  <c r="I16" i="24" s="1"/>
  <c r="K11" i="8" s="1"/>
  <c r="K11" i="35"/>
  <c r="E11" i="35" s="1"/>
  <c r="D11" i="35" s="1"/>
  <c r="N11" i="35" s="1"/>
  <c r="N12" i="35" s="1"/>
  <c r="F26" i="8"/>
  <c r="F24" i="8"/>
  <c r="F23" i="8"/>
  <c r="F22" i="8"/>
  <c r="F20" i="8"/>
  <c r="F21" i="8"/>
  <c r="N11" i="32"/>
  <c r="N12" i="32"/>
  <c r="C24" i="8"/>
  <c r="C23" i="8"/>
  <c r="C22" i="8"/>
  <c r="C21" i="8"/>
  <c r="C20" i="8"/>
  <c r="C19" i="8"/>
  <c r="B1" i="38"/>
  <c r="N5" i="37"/>
  <c r="B3" i="37"/>
  <c r="B3" i="36"/>
  <c r="B3" i="35"/>
  <c r="B3" i="34"/>
  <c r="B3" i="33"/>
  <c r="B3" i="32"/>
  <c r="F14" i="8"/>
  <c r="F12" i="8"/>
  <c r="F11" i="8"/>
  <c r="F10" i="8"/>
  <c r="F9" i="8"/>
  <c r="F8" i="8"/>
  <c r="E10" i="8"/>
  <c r="E11" i="8"/>
  <c r="E8" i="8"/>
  <c r="C12" i="8"/>
  <c r="C11" i="8"/>
  <c r="C10" i="8"/>
  <c r="C9" i="8"/>
  <c r="C8" i="8"/>
  <c r="C7" i="8"/>
  <c r="B1" i="27"/>
  <c r="L58" i="30"/>
  <c r="B4" i="26"/>
  <c r="B3" i="26"/>
  <c r="B4" i="25"/>
  <c r="B3" i="25"/>
  <c r="B4" i="24"/>
  <c r="B3" i="24"/>
  <c r="B4" i="23"/>
  <c r="B3" i="23"/>
  <c r="D11" i="22"/>
  <c r="N11" i="22" s="1"/>
  <c r="N12" i="22" s="1"/>
  <c r="J9" i="8" s="1"/>
  <c r="B4" i="22"/>
  <c r="B3" i="22"/>
  <c r="B4" i="21"/>
  <c r="B3" i="21"/>
  <c r="B16" i="20"/>
  <c r="B14" i="20"/>
  <c r="B13" i="20"/>
  <c r="B12" i="20"/>
  <c r="B11" i="20"/>
  <c r="B10" i="20"/>
  <c r="O1" i="8"/>
  <c r="I19" i="126" l="1"/>
  <c r="K67" i="8" s="1"/>
  <c r="J10" i="8"/>
  <c r="H10" i="8" s="1"/>
  <c r="N2" i="23"/>
  <c r="J35" i="8"/>
  <c r="H35" i="8" s="1"/>
  <c r="N2" i="50"/>
  <c r="N2" i="113"/>
  <c r="J59" i="8"/>
  <c r="H59" i="8" s="1"/>
  <c r="N59" i="8" s="1"/>
  <c r="J38" i="8"/>
  <c r="H38" i="8" s="1"/>
  <c r="N38" i="8" s="1"/>
  <c r="N2" i="52"/>
  <c r="J56" i="8"/>
  <c r="H56" i="8" s="1"/>
  <c r="N56" i="8" s="1"/>
  <c r="N2" i="108"/>
  <c r="N2" i="119"/>
  <c r="J63" i="8"/>
  <c r="H63" i="8" s="1"/>
  <c r="N63" i="8" s="1"/>
  <c r="N2" i="126"/>
  <c r="J67" i="8"/>
  <c r="H67" i="8" s="1"/>
  <c r="N67" i="8" s="1"/>
  <c r="J23" i="8"/>
  <c r="J8" i="8"/>
  <c r="H8" i="8" s="1"/>
  <c r="N8" i="8" s="1"/>
  <c r="N2" i="21"/>
  <c r="J83" i="8"/>
  <c r="H83" i="8" s="1"/>
  <c r="N83" i="8" s="1"/>
  <c r="N2" i="153"/>
  <c r="J28" i="8"/>
  <c r="N2" i="32"/>
  <c r="J20" i="8"/>
  <c r="H20" i="8" s="1"/>
  <c r="N20" i="8" s="1"/>
  <c r="E11" i="49"/>
  <c r="D11" i="49" s="1"/>
  <c r="N11" i="49" s="1"/>
  <c r="N12" i="49" s="1"/>
  <c r="F15" i="35"/>
  <c r="I15" i="35" s="1"/>
  <c r="I16" i="35" s="1"/>
  <c r="K23" i="8" s="1"/>
  <c r="E11" i="105"/>
  <c r="N11" i="105"/>
  <c r="J58" i="8"/>
  <c r="H58" i="8" s="1"/>
  <c r="N58" i="8" s="1"/>
  <c r="N2" i="112"/>
  <c r="H64" i="8"/>
  <c r="N64" i="8" s="1"/>
  <c r="N2" i="48"/>
  <c r="C11" i="46" s="1"/>
  <c r="E11" i="46" s="1"/>
  <c r="K33" i="8"/>
  <c r="H33" i="8" s="1"/>
  <c r="N33" i="8" s="1"/>
  <c r="E11" i="24"/>
  <c r="N11" i="24" s="1"/>
  <c r="N12" i="24" s="1"/>
  <c r="N13" i="72"/>
  <c r="I21" i="72"/>
  <c r="K15" i="8" s="1"/>
  <c r="I52" i="20"/>
  <c r="K7" i="8" s="1"/>
  <c r="E16" i="31"/>
  <c r="N11" i="89"/>
  <c r="N13" i="89" s="1"/>
  <c r="E11" i="89"/>
  <c r="F20" i="89"/>
  <c r="I20" i="89" s="1"/>
  <c r="I21" i="89" s="1"/>
  <c r="K30" i="8" s="1"/>
  <c r="E12" i="89"/>
  <c r="N12" i="89" s="1"/>
  <c r="F20" i="83"/>
  <c r="I20" i="83" s="1"/>
  <c r="I21" i="83" s="1"/>
  <c r="K27" i="8" s="1"/>
  <c r="N11" i="83"/>
  <c r="N13" i="83" s="1"/>
  <c r="E11" i="83"/>
  <c r="N11" i="95"/>
  <c r="N13" i="95" s="1"/>
  <c r="I31" i="107"/>
  <c r="K55" i="8" s="1"/>
  <c r="H55" i="8" s="1"/>
  <c r="N55" i="8" s="1"/>
  <c r="N2" i="124"/>
  <c r="J46" i="127"/>
  <c r="L68" i="8" s="1"/>
  <c r="E81" i="8"/>
  <c r="E83" i="8"/>
  <c r="N2" i="47"/>
  <c r="E11" i="62"/>
  <c r="D11" i="62" s="1"/>
  <c r="N11" i="62" s="1"/>
  <c r="N12" i="62" s="1"/>
  <c r="F15" i="62"/>
  <c r="I15" i="62" s="1"/>
  <c r="I16" i="62" s="1"/>
  <c r="K46" i="8" s="1"/>
  <c r="H66" i="8"/>
  <c r="N66" i="8" s="1"/>
  <c r="J69" i="8"/>
  <c r="H69" i="8" s="1"/>
  <c r="N69" i="8" s="1"/>
  <c r="N2" i="128"/>
  <c r="E11" i="34"/>
  <c r="D11" i="34" s="1"/>
  <c r="N11" i="34" s="1"/>
  <c r="N12" i="34" s="1"/>
  <c r="N2" i="26"/>
  <c r="I21" i="76"/>
  <c r="K17" i="8" s="1"/>
  <c r="I21" i="78"/>
  <c r="K18" i="8" s="1"/>
  <c r="H18" i="8" s="1"/>
  <c r="N18" i="8" s="1"/>
  <c r="E28" i="8"/>
  <c r="E30" i="8"/>
  <c r="E27" i="8"/>
  <c r="J40" i="8"/>
  <c r="E42" i="8"/>
  <c r="E34" i="8"/>
  <c r="E38" i="8"/>
  <c r="E41" i="8"/>
  <c r="E36" i="8"/>
  <c r="N2" i="60"/>
  <c r="F20" i="91"/>
  <c r="I20" i="91" s="1"/>
  <c r="F20" i="85"/>
  <c r="I20" i="85" s="1"/>
  <c r="I21" i="85" s="1"/>
  <c r="N2" i="101"/>
  <c r="J52" i="8"/>
  <c r="H52" i="8" s="1"/>
  <c r="N52" i="8" s="1"/>
  <c r="E12" i="105"/>
  <c r="N12" i="105" s="1"/>
  <c r="J78" i="8"/>
  <c r="H78" i="8" s="1"/>
  <c r="N78" i="8" s="1"/>
  <c r="N2" i="144"/>
  <c r="J77" i="8"/>
  <c r="H77" i="8" s="1"/>
  <c r="N77" i="8" s="1"/>
  <c r="N2" i="164"/>
  <c r="J90" i="8"/>
  <c r="H90" i="8" s="1"/>
  <c r="N90" i="8" s="1"/>
  <c r="I21" i="91"/>
  <c r="K39" i="8" s="1"/>
  <c r="H39" i="8" s="1"/>
  <c r="N39" i="8" s="1"/>
  <c r="N2" i="103"/>
  <c r="J53" i="8"/>
  <c r="H53" i="8" s="1"/>
  <c r="N53" i="8" s="1"/>
  <c r="H14" i="8"/>
  <c r="N5" i="65"/>
  <c r="I21" i="74"/>
  <c r="K16" i="8" s="1"/>
  <c r="H16" i="8" s="1"/>
  <c r="N16" i="8" s="1"/>
  <c r="N13" i="76"/>
  <c r="I21" i="22"/>
  <c r="I52" i="46"/>
  <c r="K31" i="8" s="1"/>
  <c r="N2" i="91"/>
  <c r="J26" i="8"/>
  <c r="H26" i="8" s="1"/>
  <c r="N26" i="8" s="1"/>
  <c r="J50" i="8"/>
  <c r="H50" i="8" s="1"/>
  <c r="N50" i="8" s="1"/>
  <c r="F15" i="63"/>
  <c r="I15" i="63" s="1"/>
  <c r="I16" i="63" s="1"/>
  <c r="K47" i="8" s="1"/>
  <c r="E11" i="63"/>
  <c r="D11" i="63" s="1"/>
  <c r="N11" i="63" s="1"/>
  <c r="N12" i="63" s="1"/>
  <c r="F20" i="105"/>
  <c r="I20" i="105" s="1"/>
  <c r="I21" i="105"/>
  <c r="K54" i="8" s="1"/>
  <c r="J60" i="8"/>
  <c r="N2" i="123"/>
  <c r="I23" i="149"/>
  <c r="K81" i="8" s="1"/>
  <c r="H81" i="8" s="1"/>
  <c r="N81" i="8" s="1"/>
  <c r="N11" i="156"/>
  <c r="N12" i="156" s="1"/>
  <c r="F15" i="156"/>
  <c r="I15" i="156" s="1"/>
  <c r="I16" i="156" s="1"/>
  <c r="K85" i="8" s="1"/>
  <c r="I19" i="157"/>
  <c r="K86" i="8" s="1"/>
  <c r="E47" i="8"/>
  <c r="E51" i="8"/>
  <c r="E44" i="8"/>
  <c r="N13" i="99"/>
  <c r="F20" i="87"/>
  <c r="I20" i="87" s="1"/>
  <c r="N35" i="8"/>
  <c r="I23" i="140"/>
  <c r="N2" i="151"/>
  <c r="J82" i="8"/>
  <c r="H82" i="8" s="1"/>
  <c r="N82" i="8" s="1"/>
  <c r="N11" i="33"/>
  <c r="N12" i="33" s="1"/>
  <c r="J21" i="8" s="1"/>
  <c r="I21" i="87"/>
  <c r="K29" i="8" s="1"/>
  <c r="H29" i="8" s="1"/>
  <c r="N29" i="8" s="1"/>
  <c r="I21" i="93"/>
  <c r="K40" i="8" s="1"/>
  <c r="E12" i="97"/>
  <c r="N12" i="97" s="1"/>
  <c r="N13" i="97" s="1"/>
  <c r="E53" i="8"/>
  <c r="E48" i="8"/>
  <c r="I21" i="99"/>
  <c r="K51" i="8" s="1"/>
  <c r="I32" i="111"/>
  <c r="K57" i="8" s="1"/>
  <c r="H57" i="8" s="1"/>
  <c r="N57" i="8" s="1"/>
  <c r="J38" i="111"/>
  <c r="L57" i="8" s="1"/>
  <c r="I17" i="114"/>
  <c r="K60" i="8" s="1"/>
  <c r="I38" i="127"/>
  <c r="K68" i="8" s="1"/>
  <c r="I17" i="130"/>
  <c r="J75" i="8"/>
  <c r="N2" i="147"/>
  <c r="J80" i="8"/>
  <c r="H80" i="8" s="1"/>
  <c r="N80" i="8" s="1"/>
  <c r="I52" i="31"/>
  <c r="K19" i="8" s="1"/>
  <c r="N19" i="127"/>
  <c r="J68" i="8" s="1"/>
  <c r="H68" i="8" s="1"/>
  <c r="N68" i="8" s="1"/>
  <c r="I19" i="138"/>
  <c r="K75" i="8" s="1"/>
  <c r="I17" i="161"/>
  <c r="K88" i="8" s="1"/>
  <c r="H88" i="8" s="1"/>
  <c r="N88" i="8" s="1"/>
  <c r="I17" i="133"/>
  <c r="I29" i="136"/>
  <c r="K74" i="8" s="1"/>
  <c r="I17" i="159"/>
  <c r="N14" i="8"/>
  <c r="N10" i="8"/>
  <c r="J74" i="8"/>
  <c r="N2" i="136"/>
  <c r="E74" i="8"/>
  <c r="E76" i="8"/>
  <c r="E80" i="8"/>
  <c r="J58" i="20"/>
  <c r="L7" i="8" s="1"/>
  <c r="H7" i="8" s="1"/>
  <c r="N7" i="8" s="1"/>
  <c r="E14" i="8"/>
  <c r="E9" i="8"/>
  <c r="E13" i="8"/>
  <c r="E17" i="8"/>
  <c r="E12" i="8"/>
  <c r="J58" i="31"/>
  <c r="L19" i="8" s="1"/>
  <c r="H19" i="8" s="1"/>
  <c r="N19" i="8" s="1"/>
  <c r="E26" i="8"/>
  <c r="E21" i="8"/>
  <c r="E25" i="8"/>
  <c r="E29" i="8"/>
  <c r="E24" i="8"/>
  <c r="J58" i="46"/>
  <c r="L31" i="8" s="1"/>
  <c r="H31" i="8" s="1"/>
  <c r="N31" i="8" s="1"/>
  <c r="J58" i="59"/>
  <c r="L43" i="8" s="1"/>
  <c r="H43" i="8" s="1"/>
  <c r="N43" i="8" s="1"/>
  <c r="I30" i="146"/>
  <c r="K79" i="8" s="1"/>
  <c r="H79" i="8" s="1"/>
  <c r="N79" i="8" s="1"/>
  <c r="E82" i="8"/>
  <c r="E13" i="135"/>
  <c r="I30" i="135"/>
  <c r="K73" i="8" s="1"/>
  <c r="L73" i="8"/>
  <c r="I19" i="129"/>
  <c r="K70" i="8" s="1"/>
  <c r="N2" i="157"/>
  <c r="N5" i="157" s="1"/>
  <c r="I21" i="61"/>
  <c r="N2" i="61" s="1"/>
  <c r="N5" i="48"/>
  <c r="I21" i="33"/>
  <c r="N2" i="33" s="1"/>
  <c r="K9" i="8"/>
  <c r="H9" i="8" s="1"/>
  <c r="N9" i="8" s="1"/>
  <c r="N2" i="22"/>
  <c r="K91" i="8"/>
  <c r="H91" i="8" s="1"/>
  <c r="N91" i="8" s="1"/>
  <c r="N2" i="166"/>
  <c r="K87" i="8"/>
  <c r="H87" i="8" s="1"/>
  <c r="N87" i="8" s="1"/>
  <c r="N2" i="159"/>
  <c r="N2" i="161"/>
  <c r="K72" i="8"/>
  <c r="H72" i="8" s="1"/>
  <c r="N72" i="8" s="1"/>
  <c r="N2" i="133"/>
  <c r="N2" i="130"/>
  <c r="N5" i="130" s="1"/>
  <c r="K71" i="8"/>
  <c r="H71" i="8" s="1"/>
  <c r="N71" i="8" s="1"/>
  <c r="N2" i="64"/>
  <c r="J48" i="8"/>
  <c r="H48" i="8" s="1"/>
  <c r="N48" i="8" s="1"/>
  <c r="J36" i="8"/>
  <c r="H36" i="8" s="1"/>
  <c r="N36" i="8" s="1"/>
  <c r="N2" i="51"/>
  <c r="I17" i="36"/>
  <c r="K24" i="8" s="1"/>
  <c r="J24" i="8"/>
  <c r="I17" i="25"/>
  <c r="K12" i="8" s="1"/>
  <c r="J12" i="8"/>
  <c r="N2" i="25"/>
  <c r="I17" i="70"/>
  <c r="K49" i="8" s="1"/>
  <c r="M92" i="8"/>
  <c r="J49" i="8"/>
  <c r="H49" i="8" s="1"/>
  <c r="N49" i="8" s="1"/>
  <c r="N2" i="70"/>
  <c r="I17" i="42"/>
  <c r="K13" i="8" s="1"/>
  <c r="H13" i="8" s="1"/>
  <c r="N13" i="8" s="1"/>
  <c r="H37" i="8"/>
  <c r="N37" i="8" s="1"/>
  <c r="C13" i="127"/>
  <c r="E13" i="127" s="1"/>
  <c r="N2" i="57"/>
  <c r="K25" i="8"/>
  <c r="H25" i="8" s="1"/>
  <c r="N25" i="8" s="1"/>
  <c r="N2" i="44"/>
  <c r="N2" i="42"/>
  <c r="J86" i="8"/>
  <c r="H86" i="8" s="1"/>
  <c r="N86" i="8" s="1"/>
  <c r="N2" i="129"/>
  <c r="C11" i="127" s="1"/>
  <c r="E11" i="127" s="1"/>
  <c r="J70" i="8"/>
  <c r="H70" i="8" s="1"/>
  <c r="N70" i="8" s="1"/>
  <c r="E72" i="8"/>
  <c r="J46" i="155"/>
  <c r="L84" i="8" s="1"/>
  <c r="J41" i="163"/>
  <c r="L89" i="8" s="1"/>
  <c r="L92" i="8" s="1"/>
  <c r="I33" i="163"/>
  <c r="K89" i="8" s="1"/>
  <c r="H89" i="8" s="1"/>
  <c r="N89" i="8" s="1"/>
  <c r="I38" i="155"/>
  <c r="K84" i="8"/>
  <c r="H84" i="8"/>
  <c r="N84" i="8" s="1"/>
  <c r="J42" i="8" l="1"/>
  <c r="H42" i="8" s="1"/>
  <c r="N42" i="8" s="1"/>
  <c r="N2" i="97"/>
  <c r="K28" i="8"/>
  <c r="N2" i="85"/>
  <c r="N2" i="138"/>
  <c r="K76" i="8"/>
  <c r="H76" i="8" s="1"/>
  <c r="N76" i="8" s="1"/>
  <c r="N2" i="140"/>
  <c r="C14" i="135"/>
  <c r="E14" i="135" s="1"/>
  <c r="N5" i="144"/>
  <c r="C10" i="59"/>
  <c r="E10" i="59" s="1"/>
  <c r="N5" i="60"/>
  <c r="N2" i="87"/>
  <c r="N2" i="149"/>
  <c r="N2" i="114"/>
  <c r="N5" i="47"/>
  <c r="C10" i="46"/>
  <c r="E10" i="46" s="1"/>
  <c r="C11" i="122"/>
  <c r="E11" i="122" s="1"/>
  <c r="N5" i="124"/>
  <c r="J27" i="8"/>
  <c r="H27" i="8" s="1"/>
  <c r="N27" i="8" s="1"/>
  <c r="N2" i="83"/>
  <c r="J34" i="8"/>
  <c r="H34" i="8" s="1"/>
  <c r="N34" i="8" s="1"/>
  <c r="N2" i="49"/>
  <c r="C10" i="20"/>
  <c r="E10" i="20" s="1"/>
  <c r="N5" i="21"/>
  <c r="C13" i="46"/>
  <c r="E13" i="46" s="1"/>
  <c r="N5" i="50"/>
  <c r="H74" i="8"/>
  <c r="N74" i="8" s="1"/>
  <c r="H75" i="8"/>
  <c r="N75" i="8" s="1"/>
  <c r="J51" i="8"/>
  <c r="H51" i="8" s="1"/>
  <c r="N51" i="8" s="1"/>
  <c r="N2" i="99"/>
  <c r="N5" i="101"/>
  <c r="C18" i="59"/>
  <c r="E18" i="59" s="1"/>
  <c r="N5" i="128"/>
  <c r="C10" i="127"/>
  <c r="E10" i="127" s="1"/>
  <c r="N2" i="89"/>
  <c r="J30" i="8"/>
  <c r="H30" i="8" s="1"/>
  <c r="N30" i="8" s="1"/>
  <c r="N2" i="72"/>
  <c r="J15" i="8"/>
  <c r="H15" i="8" s="1"/>
  <c r="N15" i="8" s="1"/>
  <c r="N13" i="105"/>
  <c r="C12" i="122"/>
  <c r="E12" i="122" s="1"/>
  <c r="N5" i="126"/>
  <c r="C10" i="107"/>
  <c r="E10" i="107" s="1"/>
  <c r="E11" i="107" s="1"/>
  <c r="N2" i="107" s="1"/>
  <c r="N5" i="107" s="1"/>
  <c r="N5" i="108"/>
  <c r="K45" i="8"/>
  <c r="H45" i="8" s="1"/>
  <c r="N45" i="8" s="1"/>
  <c r="C10" i="122"/>
  <c r="E10" i="122" s="1"/>
  <c r="N5" i="123"/>
  <c r="J47" i="8"/>
  <c r="H47" i="8" s="1"/>
  <c r="N47" i="8" s="1"/>
  <c r="N2" i="63"/>
  <c r="C17" i="46"/>
  <c r="E17" i="46" s="1"/>
  <c r="N5" i="91"/>
  <c r="J17" i="8"/>
  <c r="H17" i="8" s="1"/>
  <c r="N17" i="8" s="1"/>
  <c r="N2" i="76"/>
  <c r="N5" i="164"/>
  <c r="C10" i="163"/>
  <c r="E10" i="163" s="1"/>
  <c r="N2" i="93"/>
  <c r="C16" i="20"/>
  <c r="E16" i="20" s="1"/>
  <c r="N5" i="26"/>
  <c r="J46" i="8"/>
  <c r="H46" i="8" s="1"/>
  <c r="N46" i="8" s="1"/>
  <c r="N2" i="62"/>
  <c r="N2" i="95"/>
  <c r="J41" i="8"/>
  <c r="H41" i="8" s="1"/>
  <c r="N41" i="8" s="1"/>
  <c r="J11" i="8"/>
  <c r="N2" i="24"/>
  <c r="C10" i="31"/>
  <c r="E10" i="31" s="1"/>
  <c r="N5" i="32"/>
  <c r="C13" i="146"/>
  <c r="E13" i="146" s="1"/>
  <c r="N5" i="153"/>
  <c r="N2" i="35"/>
  <c r="C11" i="111"/>
  <c r="E11" i="111" s="1"/>
  <c r="N5" i="113"/>
  <c r="C12" i="20"/>
  <c r="E12" i="20" s="1"/>
  <c r="N5" i="23"/>
  <c r="K21" i="8"/>
  <c r="H21" i="8" s="1"/>
  <c r="N21" i="8" s="1"/>
  <c r="N5" i="147"/>
  <c r="C10" i="146"/>
  <c r="E10" i="146" s="1"/>
  <c r="N5" i="151"/>
  <c r="C12" i="146"/>
  <c r="E12" i="146" s="1"/>
  <c r="N2" i="156"/>
  <c r="J85" i="8"/>
  <c r="H85" i="8" s="1"/>
  <c r="N85" i="8" s="1"/>
  <c r="H60" i="8"/>
  <c r="N60" i="8" s="1"/>
  <c r="N5" i="103"/>
  <c r="C19" i="59"/>
  <c r="E19" i="59" s="1"/>
  <c r="H40" i="8"/>
  <c r="N40" i="8" s="1"/>
  <c r="N2" i="34"/>
  <c r="J22" i="8"/>
  <c r="H22" i="8" s="1"/>
  <c r="N22" i="8" s="1"/>
  <c r="N2" i="74"/>
  <c r="N5" i="112"/>
  <c r="C10" i="111"/>
  <c r="E10" i="111" s="1"/>
  <c r="H28" i="8"/>
  <c r="N28" i="8" s="1"/>
  <c r="H23" i="8"/>
  <c r="N23" i="8" s="1"/>
  <c r="C10" i="118"/>
  <c r="E10" i="118" s="1"/>
  <c r="E11" i="118" s="1"/>
  <c r="N2" i="118" s="1"/>
  <c r="N5" i="118" s="1"/>
  <c r="N5" i="119"/>
  <c r="N5" i="52"/>
  <c r="C16" i="46"/>
  <c r="E16" i="46" s="1"/>
  <c r="C10" i="135"/>
  <c r="E10" i="135" s="1"/>
  <c r="N5" i="136"/>
  <c r="H73" i="8"/>
  <c r="N73" i="8" s="1"/>
  <c r="N5" i="129"/>
  <c r="C11" i="155"/>
  <c r="E11" i="155" s="1"/>
  <c r="N5" i="61"/>
  <c r="C11" i="59"/>
  <c r="E11" i="59" s="1"/>
  <c r="N5" i="33"/>
  <c r="C11" i="31"/>
  <c r="E11" i="31" s="1"/>
  <c r="C11" i="20"/>
  <c r="E11" i="20" s="1"/>
  <c r="N5" i="22"/>
  <c r="K92" i="8"/>
  <c r="N5" i="166"/>
  <c r="C11" i="163"/>
  <c r="E11" i="163" s="1"/>
  <c r="E12" i="163" s="1"/>
  <c r="N2" i="163" s="1"/>
  <c r="N5" i="163" s="1"/>
  <c r="N5" i="161"/>
  <c r="C13" i="155"/>
  <c r="E13" i="155" s="1"/>
  <c r="N5" i="159"/>
  <c r="C12" i="155"/>
  <c r="E12" i="155" s="1"/>
  <c r="C12" i="127"/>
  <c r="E12" i="127" s="1"/>
  <c r="E14" i="127" s="1"/>
  <c r="N5" i="133"/>
  <c r="C14" i="59"/>
  <c r="E14" i="59" s="1"/>
  <c r="N5" i="64"/>
  <c r="C14" i="46"/>
  <c r="E14" i="46" s="1"/>
  <c r="N5" i="51"/>
  <c r="H24" i="8"/>
  <c r="N24" i="8" s="1"/>
  <c r="N2" i="36"/>
  <c r="C14" i="31" s="1"/>
  <c r="E14" i="31" s="1"/>
  <c r="H12" i="8"/>
  <c r="N12" i="8" s="1"/>
  <c r="C14" i="20"/>
  <c r="E14" i="20" s="1"/>
  <c r="N5" i="25"/>
  <c r="N5" i="70"/>
  <c r="C15" i="59"/>
  <c r="E15" i="59" s="1"/>
  <c r="C15" i="46"/>
  <c r="E15" i="46" s="1"/>
  <c r="N5" i="57"/>
  <c r="C15" i="31"/>
  <c r="E15" i="31" s="1"/>
  <c r="N5" i="44"/>
  <c r="C15" i="20"/>
  <c r="E15" i="20" s="1"/>
  <c r="N5" i="42"/>
  <c r="E13" i="122" l="1"/>
  <c r="N2" i="122" s="1"/>
  <c r="N5" i="122" s="1"/>
  <c r="C12" i="31"/>
  <c r="E12" i="31" s="1"/>
  <c r="N5" i="34"/>
  <c r="C13" i="31"/>
  <c r="E13" i="31" s="1"/>
  <c r="N5" i="35"/>
  <c r="N5" i="95"/>
  <c r="C19" i="46"/>
  <c r="E19" i="46" s="1"/>
  <c r="N5" i="76"/>
  <c r="C19" i="20"/>
  <c r="E19" i="20" s="1"/>
  <c r="C13" i="59"/>
  <c r="E13" i="59" s="1"/>
  <c r="N5" i="63"/>
  <c r="N5" i="83"/>
  <c r="C17" i="31"/>
  <c r="E17" i="31" s="1"/>
  <c r="C19" i="31"/>
  <c r="E19" i="31" s="1"/>
  <c r="N5" i="87"/>
  <c r="N5" i="85"/>
  <c r="C18" i="31"/>
  <c r="E18" i="31" s="1"/>
  <c r="N5" i="24"/>
  <c r="C13" i="20"/>
  <c r="E13" i="20" s="1"/>
  <c r="C12" i="59"/>
  <c r="E12" i="59" s="1"/>
  <c r="N5" i="62"/>
  <c r="N5" i="93"/>
  <c r="C18" i="46"/>
  <c r="E18" i="46" s="1"/>
  <c r="N2" i="105"/>
  <c r="J54" i="8"/>
  <c r="H54" i="8" s="1"/>
  <c r="N54" i="8" s="1"/>
  <c r="N5" i="89"/>
  <c r="C20" i="31"/>
  <c r="E20" i="31" s="1"/>
  <c r="C12" i="135"/>
  <c r="E12" i="135" s="1"/>
  <c r="N5" i="140"/>
  <c r="N5" i="74"/>
  <c r="C18" i="20"/>
  <c r="E18" i="20" s="1"/>
  <c r="C10" i="155"/>
  <c r="E10" i="155" s="1"/>
  <c r="N5" i="156"/>
  <c r="N5" i="99"/>
  <c r="C17" i="59"/>
  <c r="E17" i="59" s="1"/>
  <c r="C12" i="111"/>
  <c r="E12" i="111" s="1"/>
  <c r="E14" i="111" s="1"/>
  <c r="N2" i="111" s="1"/>
  <c r="N5" i="111" s="1"/>
  <c r="N5" i="114"/>
  <c r="N5" i="97"/>
  <c r="C20" i="46"/>
  <c r="E20" i="46" s="1"/>
  <c r="H11" i="8"/>
  <c r="N11" i="8" s="1"/>
  <c r="N92" i="8" s="1"/>
  <c r="J92" i="8"/>
  <c r="N5" i="49"/>
  <c r="C12" i="46"/>
  <c r="E12" i="46" s="1"/>
  <c r="E14" i="155"/>
  <c r="N2" i="155" s="1"/>
  <c r="N5" i="155" s="1"/>
  <c r="E14" i="146"/>
  <c r="N2" i="146" s="1"/>
  <c r="N5" i="146" s="1"/>
  <c r="N5" i="72"/>
  <c r="C17" i="20"/>
  <c r="E17" i="20" s="1"/>
  <c r="C11" i="146"/>
  <c r="E11" i="146" s="1"/>
  <c r="N5" i="149"/>
  <c r="C11" i="135"/>
  <c r="E11" i="135" s="1"/>
  <c r="N5" i="138"/>
  <c r="E21" i="46"/>
  <c r="N2" i="46" s="1"/>
  <c r="N5" i="46" s="1"/>
  <c r="N5" i="36"/>
  <c r="E21" i="31"/>
  <c r="N2" i="31" s="1"/>
  <c r="N5" i="31" s="1"/>
  <c r="E21" i="20"/>
  <c r="N2" i="20" s="1"/>
  <c r="N5" i="20" s="1"/>
  <c r="C20" i="59" l="1"/>
  <c r="E20" i="59" s="1"/>
  <c r="E21" i="59" s="1"/>
  <c r="N2" i="59" s="1"/>
  <c r="N5" i="59" s="1"/>
  <c r="N5" i="105"/>
  <c r="E15" i="135"/>
  <c r="L2" i="135" s="1"/>
  <c r="L5" i="135" s="1"/>
</calcChain>
</file>

<file path=xl/sharedStrings.xml><?xml version="1.0" encoding="utf-8"?>
<sst xmlns="http://schemas.openxmlformats.org/spreadsheetml/2006/main" count="6785" uniqueCount="562">
  <si>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</si>
  <si>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</si>
  <si>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</si>
  <si>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</si>
  <si>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</si>
  <si>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</si>
  <si>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</si>
  <si>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</si>
  <si>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</si>
  <si>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</si>
  <si>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</si>
  <si>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</si>
  <si>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</si>
  <si>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</si>
  <si>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</si>
  <si>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</si>
  <si>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</si>
  <si>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</si>
  <si>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</si>
  <si>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</si>
  <si>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</si>
  <si>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</si>
  <si>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</si>
  <si>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</si>
  <si>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</si>
  <si>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</si>
  <si>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</si>
  <si>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</si>
  <si>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</si>
  <si>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</si>
  <si>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</si>
  <si>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</si>
  <si>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</si>
  <si>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</si>
  <si>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</si>
  <si>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</si>
  <si>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</si>
  <si>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</si>
  <si>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</si>
  <si>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</si>
  <si>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</si>
  <si>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</si>
  <si>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</si>
  <si>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</si>
  <si>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</si>
  <si>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</si>
  <si>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</si>
  <si>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</si>
  <si>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</si>
  <si>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</si>
  <si>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</si>
  <si>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</si>
  <si>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</si>
  <si>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</si>
  <si>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</si>
  <si>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</si>
  <si>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</si>
  <si>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</si>
  <si>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</si>
  <si>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</si>
  <si>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Drawing</t>
  </si>
  <si>
    <t>FSAEI</t>
  </si>
  <si>
    <t>Back to BOM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</si>
  <si>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</si>
  <si>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</si>
  <si>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</si>
  <si>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</si>
  <si>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</si>
  <si>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</si>
  <si>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</si>
  <si>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</si>
  <si>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</si>
  <si>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</si>
  <si>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</si>
  <si>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</si>
  <si>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</si>
  <si>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</si>
  <si>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</si>
  <si>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</si>
  <si>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</si>
  <si>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</si>
  <si>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</si>
  <si>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</si>
  <si>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</si>
  <si>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</si>
  <si>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</si>
  <si>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</si>
  <si>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</si>
  <si>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</si>
  <si>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</si>
  <si>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</si>
  <si>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</si>
  <si>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</si>
  <si>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cm^3</t>
  </si>
  <si>
    <t>Kg</t>
  </si>
  <si>
    <t>Cylinder face area</t>
  </si>
  <si>
    <t>tube face</t>
  </si>
  <si>
    <t>Cylinder face</t>
  </si>
  <si>
    <t>Mild Steel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</si>
  <si>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</si>
  <si>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</si>
  <si>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</si>
  <si>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</si>
  <si>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</si>
  <si>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</si>
  <si>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</si>
  <si>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</si>
  <si>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</si>
  <si>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</si>
  <si>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</si>
  <si>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</si>
  <si>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</si>
  <si>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</si>
  <si>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</si>
  <si>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</si>
  <si>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</si>
  <si>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</si>
  <si>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</si>
  <si>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</si>
  <si>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</si>
  <si>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</si>
  <si>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</si>
  <si>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</si>
  <si>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</si>
  <si>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</si>
  <si>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</si>
  <si>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</si>
  <si>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</si>
  <si>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</si>
  <si>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</si>
  <si>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</si>
  <si>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</si>
  <si>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</si>
  <si>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</si>
  <si>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</si>
  <si>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</si>
  <si>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</si>
  <si>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</si>
  <si>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</si>
  <si>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</si>
  <si>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</si>
  <si>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</si>
  <si>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</si>
  <si>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</si>
  <si>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</si>
  <si>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</si>
  <si>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</si>
  <si>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</si>
  <si>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</si>
  <si>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</si>
  <si>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</si>
  <si>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</si>
  <si>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</si>
  <si>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</si>
  <si>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</si>
  <si>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</si>
  <si>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</si>
  <si>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</si>
  <si>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</si>
  <si>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</si>
  <si>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</si>
  <si>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</si>
  <si>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</si>
  <si>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</si>
  <si>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</si>
  <si>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</si>
  <si>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</si>
  <si>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</si>
  <si>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</si>
  <si>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</si>
  <si>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</si>
  <si>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</si>
  <si>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</si>
  <si>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</si>
  <si>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</si>
  <si>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</si>
  <si>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</si>
  <si>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</si>
  <si>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</si>
  <si>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</si>
  <si>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</si>
  <si>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</si>
  <si>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</si>
  <si>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</si>
  <si>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</si>
  <si>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</si>
  <si>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</si>
  <si>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</si>
  <si>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</si>
  <si>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</si>
  <si>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</si>
  <si>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</si>
  <si>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</si>
  <si>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</si>
  <si>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</si>
  <si>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</si>
  <si>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</si>
  <si>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</si>
  <si>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hole</t>
  </si>
  <si>
    <t>Saw or tubing cut</t>
  </si>
  <si>
    <t>Aluminium, Premium (per kg)</t>
  </si>
  <si>
    <t>cylinder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</si>
  <si>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</si>
  <si>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</si>
  <si>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</si>
  <si>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</si>
  <si>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</si>
  <si>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</si>
  <si>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</si>
  <si>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</si>
  <si>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</si>
  <si>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</si>
  <si>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</si>
  <si>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</si>
  <si>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</si>
  <si>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</si>
  <si>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</si>
  <si>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</si>
  <si>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</si>
  <si>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</si>
  <si>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</si>
  <si>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</si>
  <si>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</si>
  <si>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</si>
  <si>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</si>
  <si>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</si>
  <si>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</si>
  <si>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</si>
  <si>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</si>
  <si>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</si>
  <si>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</si>
  <si>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</si>
  <si>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</si>
  <si>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</si>
  <si>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</si>
  <si>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</si>
  <si>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</si>
  <si>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</si>
  <si>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</si>
  <si>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</si>
  <si>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</si>
  <si>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</si>
  <si>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</si>
  <si>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</si>
  <si>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</si>
  <si>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</si>
  <si>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</si>
  <si>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</si>
  <si>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</si>
  <si>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</si>
  <si>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</si>
  <si>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</si>
  <si>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</si>
  <si>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</si>
  <si>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</si>
  <si>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</si>
  <si>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</si>
  <si>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</si>
  <si>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</si>
  <si>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</si>
  <si>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</si>
  <si>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</si>
  <si>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</si>
  <si>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</si>
  <si>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</si>
  <si>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</si>
  <si>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</si>
  <si>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</si>
  <si>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</si>
  <si>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</si>
  <si>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</si>
  <si>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</si>
  <si>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</si>
  <si>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</si>
  <si>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</si>
  <si>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</si>
  <si>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</si>
  <si>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</si>
  <si>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</si>
  <si>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</si>
  <si>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</si>
  <si>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</si>
  <si>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</si>
  <si>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</si>
  <si>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</si>
  <si>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</si>
  <si>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</si>
  <si>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</si>
  <si>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</si>
  <si>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</si>
  <si>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</si>
  <si>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</si>
  <si>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</si>
  <si>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</si>
  <si>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</si>
  <si>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</si>
  <si>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</si>
  <si>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</si>
  <si>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</si>
  <si>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</si>
  <si>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</si>
  <si>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</si>
  <si>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</si>
  <si>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</si>
  <si>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</si>
  <si>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</si>
  <si>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</si>
  <si>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</si>
  <si>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</si>
  <si>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</si>
  <si>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</si>
  <si>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</si>
  <si>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</si>
  <si>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</si>
  <si>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</si>
  <si>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</si>
  <si>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</si>
  <si>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</si>
  <si>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</si>
  <si>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</si>
  <si>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</si>
  <si>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</si>
  <si>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</si>
  <si>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</si>
  <si>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</si>
  <si>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</si>
  <si>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</si>
  <si>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</si>
  <si>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</si>
  <si>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</si>
  <si>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</si>
  <si>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</si>
  <si>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</si>
  <si>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</si>
  <si>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</si>
  <si>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</si>
  <si>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</si>
  <si>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</si>
  <si>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</si>
  <si>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</si>
  <si>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</si>
  <si>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</si>
  <si>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</si>
  <si>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</si>
  <si>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</si>
  <si>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</si>
  <si>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</si>
  <si>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</si>
  <si>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</si>
  <si>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</si>
  <si>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</si>
  <si>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</si>
  <si>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</si>
  <si>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</si>
  <si>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</si>
  <si>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</si>
  <si>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</si>
  <si>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</si>
  <si>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</si>
  <si>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</si>
  <si>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</si>
  <si>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</si>
  <si>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</si>
  <si>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</si>
  <si>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</si>
  <si>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</si>
  <si>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</si>
  <si>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</si>
  <si>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</si>
  <si>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</si>
  <si>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</si>
  <si>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</si>
  <si>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</si>
  <si>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</si>
  <si>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</si>
  <si>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</si>
  <si>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</si>
  <si>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</si>
  <si>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</si>
  <si>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</si>
  <si>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</si>
  <si>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</si>
  <si>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</si>
  <si>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</si>
  <si>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</si>
  <si>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</si>
  <si>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</si>
  <si>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</si>
  <si>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</si>
  <si>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</si>
  <si>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</si>
  <si>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</si>
  <si>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</si>
  <si>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</si>
  <si>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</si>
  <si>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</si>
  <si>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</si>
  <si>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</si>
  <si>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</si>
  <si>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</si>
  <si>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</si>
  <si>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</si>
  <si>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</si>
  <si>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</si>
  <si>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</si>
  <si>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</si>
  <si>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</si>
  <si>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</si>
  <si>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</si>
  <si>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</si>
  <si>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</si>
  <si>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</si>
  <si>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</si>
  <si>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</si>
  <si>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</si>
  <si>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</si>
  <si>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</si>
  <si>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</si>
  <si>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</si>
  <si>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</si>
  <si>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</si>
  <si>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</si>
  <si>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</si>
  <si>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</si>
  <si>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</si>
  <si>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</si>
  <si>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</si>
  <si>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</si>
  <si>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</si>
  <si>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</si>
  <si>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</si>
  <si>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</si>
  <si>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</si>
  <si>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</si>
  <si>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</si>
  <si>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</si>
  <si>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</si>
  <si>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</si>
  <si>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</si>
  <si>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</si>
  <si>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</si>
  <si>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</si>
  <si>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</si>
  <si>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</si>
  <si>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</si>
  <si>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</si>
  <si>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</si>
  <si>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</si>
  <si>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</si>
  <si>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</si>
  <si>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</si>
  <si>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</si>
  <si>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</si>
  <si>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</si>
  <si>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</si>
  <si>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</si>
  <si>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</si>
  <si>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</si>
  <si>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</si>
  <si>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</si>
  <si>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</si>
  <si>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</si>
  <si>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</si>
  <si>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</si>
  <si>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</si>
  <si>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</si>
  <si>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</si>
  <si>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</si>
  <si>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</si>
  <si>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</si>
  <si>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</si>
  <si>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</si>
  <si>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</si>
  <si>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</si>
  <si>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</si>
  <si>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</si>
  <si>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</si>
  <si>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</si>
  <si>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</si>
  <si>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</si>
  <si>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</si>
  <si>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</si>
  <si>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</si>
  <si>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</si>
  <si>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</si>
  <si>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</si>
  <si>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</si>
  <si>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</si>
  <si>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</si>
  <si>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</si>
  <si>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</si>
  <si>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</si>
  <si>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</si>
  <si>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</si>
  <si>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</si>
  <si>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</si>
  <si>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</si>
  <si>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</si>
  <si>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</si>
  <si>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</si>
  <si>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</si>
  <si>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</si>
  <si>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</si>
  <si>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</si>
  <si>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</si>
  <si>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</si>
  <si>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</si>
  <si>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</si>
  <si>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</si>
  <si>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</si>
  <si>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</si>
  <si>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</si>
  <si>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</si>
  <si>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</si>
  <si>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</si>
  <si>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</si>
  <si>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</si>
  <si>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</si>
  <si>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</si>
  <si>
    <t>SU A1200</t>
  </si>
  <si>
    <t>Front Pullrod, right and left are symetric</t>
  </si>
  <si>
    <t>SU 12001</t>
  </si>
  <si>
    <t>SU 12002</t>
  </si>
  <si>
    <t>SU_12002</t>
  </si>
  <si>
    <t>SU 12003</t>
  </si>
  <si>
    <t>8 parts made from a single machine setup</t>
  </si>
  <si>
    <t>SU_12003</t>
  </si>
  <si>
    <t>SU 12004</t>
  </si>
  <si>
    <t>SU_12004</t>
  </si>
  <si>
    <t>Rear Pushrod</t>
  </si>
  <si>
    <t>SU A1300</t>
  </si>
  <si>
    <t>Rear Pushrod, right and left are symetric</t>
  </si>
  <si>
    <t>Screwing by hand the rod end in the steel cylinder</t>
  </si>
  <si>
    <t>Bolt pushrod into the rocker</t>
  </si>
  <si>
    <t>Bolt pushrod into the A-Arm</t>
  </si>
  <si>
    <t>Pushrod to rocker fixing bolt</t>
  </si>
  <si>
    <t>Pushrod to A-arm fixing bolt</t>
  </si>
  <si>
    <t>Steel cylinder for pushrod</t>
  </si>
  <si>
    <t>SU 13001</t>
  </si>
  <si>
    <t>Steel, alloy</t>
  </si>
  <si>
    <t>Material for part</t>
  </si>
  <si>
    <t>Round area, outside diameter 15 mm</t>
  </si>
  <si>
    <t>Tapping holes</t>
  </si>
  <si>
    <t>Drill &amp; Tap</t>
  </si>
  <si>
    <t>Spacer</t>
  </si>
  <si>
    <t>SU 13002</t>
  </si>
  <si>
    <t>SU_13002</t>
  </si>
  <si>
    <t xml:space="preserve">Rear Tie rod  </t>
  </si>
  <si>
    <t>Round area diam. 18mm</t>
  </si>
  <si>
    <t>Round area diam. 12mm</t>
  </si>
  <si>
    <t>Same as SU_0*_006 (*=1,…,4)</t>
  </si>
  <si>
    <t>Same as SU_0*_006 (*=1,…,4) and SU_09_003</t>
  </si>
  <si>
    <t>Steel</t>
  </si>
  <si>
    <t>16 parts from a single setup</t>
  </si>
  <si>
    <t>8 parts from a single machine setup (tierod insert)</t>
  </si>
  <si>
    <t>8 parts from a single machine setup (pushrod insert)</t>
  </si>
  <si>
    <t>Same setup for 2 parts</t>
  </si>
  <si>
    <t>Bolt, Grade 8.8 (SAE 5)</t>
  </si>
  <si>
    <t>Bolt Upper arm bracket, wedge, camber adjustment shim and upright</t>
  </si>
  <si>
    <t>Bolt Speed sensor bracket on upright</t>
  </si>
  <si>
    <t>Bolt upright assembly with rear A-arms</t>
  </si>
  <si>
    <t>rectangular area, 180 x 280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</si>
</sst>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1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5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</borders>
  <cellStyleXfs count="65">
    <xf numFmtId="0" fontId="0" fillId="0" borderId="0"/>
    <xf numFmtId="0" fontId="15" fillId="0" borderId="0"/>
    <xf numFmtId="170" fontId="15" fillId="0" borderId="0" applyFont="0" applyFill="0" applyBorder="0" applyAlignment="0" applyProtection="0"/>
    <xf numFmtId="170" fontId="23" fillId="0" borderId="0" applyFont="0" applyFill="0" applyBorder="0" applyAlignment="0" applyProtection="0"/>
    <xf numFmtId="170" fontId="14" fillId="2" borderId="6">
      <alignment vertical="center" wrapText="1"/>
    </xf>
    <xf numFmtId="171" fontId="15" fillId="0" borderId="0" applyFont="0" applyFill="0" applyBorder="0" applyAlignment="0" applyProtection="0"/>
    <xf numFmtId="0" fontId="10" fillId="0" borderId="0"/>
    <xf numFmtId="166" fontId="13" fillId="0" borderId="1">
      <alignment vertical="center" wrapText="1"/>
    </xf>
    <xf numFmtId="0" fontId="26" fillId="0" borderId="0" applyNumberFormat="0" applyFill="0" applyBorder="0" applyAlignment="0" applyProtection="0"/>
    <xf numFmtId="0" fontId="28" fillId="0" borderId="0"/>
    <xf numFmtId="170" fontId="33" fillId="13" borderId="1">
      <alignment vertical="center" wrapText="1"/>
    </xf>
    <xf numFmtId="170" fontId="27" fillId="11" borderId="6">
      <alignment vertical="center" wrapText="1"/>
    </xf>
    <xf numFmtId="170" fontId="8" fillId="0" borderId="0" applyFont="0" applyFill="0" applyBorder="0" applyAlignment="0" applyProtection="0"/>
    <xf numFmtId="0" fontId="30" fillId="12" borderId="0" applyNumberFormat="0" applyBorder="0" applyAlignment="0" applyProtection="0"/>
    <xf numFmtId="170" fontId="15" fillId="0" borderId="0" applyFont="0" applyFill="0" applyBorder="0" applyAlignment="0" applyProtection="0"/>
    <xf numFmtId="0" fontId="32" fillId="0" borderId="0"/>
    <xf numFmtId="0" fontId="15" fillId="0" borderId="0"/>
    <xf numFmtId="0" fontId="32" fillId="0" borderId="0"/>
    <xf numFmtId="0" fontId="15" fillId="0" borderId="0"/>
    <xf numFmtId="0" fontId="15" fillId="0" borderId="0"/>
    <xf numFmtId="0" fontId="15" fillId="0" borderId="0"/>
    <xf numFmtId="0" fontId="8" fillId="0" borderId="0"/>
    <xf numFmtId="0" fontId="32" fillId="0" borderId="0"/>
    <xf numFmtId="0" fontId="32" fillId="0" borderId="0"/>
    <xf numFmtId="0" fontId="8" fillId="0" borderId="0"/>
    <xf numFmtId="0" fontId="8" fillId="0" borderId="0"/>
    <xf numFmtId="0" fontId="8" fillId="0" borderId="0"/>
    <xf numFmtId="0" fontId="31" fillId="0" borderId="0"/>
    <xf numFmtId="174" fontId="33" fillId="0" borderId="1">
      <alignment vertical="center" wrapText="1"/>
    </xf>
    <xf numFmtId="165" fontId="23" fillId="0" borderId="0" applyFill="0" applyBorder="0" applyAlignment="0" applyProtection="0"/>
    <xf numFmtId="0" fontId="35" fillId="0" borderId="0"/>
    <xf numFmtId="0" fontId="7" fillId="0" borderId="0"/>
    <xf numFmtId="0" fontId="6" fillId="0" borderId="0"/>
    <xf numFmtId="0" fontId="13" fillId="0" borderId="0"/>
    <xf numFmtId="0" fontId="5" fillId="0" borderId="0"/>
    <xf numFmtId="171" fontId="23" fillId="0" borderId="0" applyFont="0" applyFill="0" applyBorder="0" applyAlignment="0" applyProtection="0"/>
    <xf numFmtId="170" fontId="23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4" fillId="0" borderId="0"/>
    <xf numFmtId="0" fontId="4" fillId="0" borderId="0"/>
    <xf numFmtId="44" fontId="4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13" fillId="0" borderId="0"/>
    <xf numFmtId="170" fontId="36" fillId="14" borderId="6">
      <alignment vertical="center" wrapText="1"/>
    </xf>
    <xf numFmtId="170" fontId="4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43" fontId="1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43" fillId="0" borderId="0" applyNumberFormat="0" applyFill="0" applyBorder="0" applyAlignment="0" applyProtection="0"/>
    <xf numFmtId="0" fontId="2" fillId="0" borderId="0"/>
    <xf numFmtId="0" fontId="2" fillId="0" borderId="0"/>
    <xf numFmtId="43" fontId="13" fillId="0" borderId="0" applyFont="0" applyFill="0" applyBorder="0" applyAlignment="0" applyProtection="0"/>
    <xf numFmtId="0" fontId="23" fillId="0" borderId="0"/>
    <xf numFmtId="0" fontId="2" fillId="0" borderId="0"/>
    <xf numFmtId="164" fontId="23" fillId="0" borderId="0" applyFill="0" applyBorder="0" applyAlignment="0" applyProtection="0"/>
    <xf numFmtId="44" fontId="1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</cellStyleXfs>
  <cellXfs count="1219">
    <xf numFmtId="0" fontId="0" fillId="0" borderId="0" xfId="0"/>
    <xf numFmtId="18" fontId="19" fillId="0" borderId="7" xfId="1" applyNumberFormat="1" applyFont="1" applyFill="1" applyBorder="1" applyAlignment="1" applyProtection="1">
      <protection locked="0"/>
    </xf>
    <xf numFmtId="0" fontId="19" fillId="0" borderId="7" xfId="1" applyFont="1" applyFill="1" applyBorder="1" applyAlignment="1">
      <alignment horizontal="center"/>
    </xf>
    <xf numFmtId="171" fontId="19" fillId="0" borderId="7" xfId="5" applyFont="1" applyFill="1" applyBorder="1" applyProtection="1">
      <protection locked="0"/>
    </xf>
    <xf numFmtId="0" fontId="19" fillId="0" borderId="7" xfId="1" applyFont="1" applyFill="1" applyBorder="1" applyAlignment="1" applyProtection="1">
      <alignment horizontal="center"/>
      <protection locked="0"/>
    </xf>
    <xf numFmtId="0" fontId="19" fillId="0" borderId="7" xfId="1" applyFont="1" applyFill="1" applyBorder="1" applyProtection="1">
      <protection locked="0"/>
    </xf>
    <xf numFmtId="171" fontId="16" fillId="0" borderId="0" xfId="5" applyFont="1"/>
    <xf numFmtId="0" fontId="16" fillId="0" borderId="0" xfId="1" applyFont="1" applyProtection="1">
      <protection locked="0"/>
    </xf>
    <xf numFmtId="171" fontId="15" fillId="0" borderId="0" xfId="5" applyFont="1"/>
    <xf numFmtId="0" fontId="16" fillId="0" borderId="0" xfId="1" applyFont="1"/>
    <xf numFmtId="0" fontId="18" fillId="0" borderId="0" xfId="1" applyFont="1"/>
    <xf numFmtId="0" fontId="15" fillId="0" borderId="0" xfId="1" applyFont="1" applyProtection="1">
      <protection locked="0"/>
    </xf>
    <xf numFmtId="0" fontId="15" fillId="0" borderId="0" xfId="1" applyFont="1" applyFill="1"/>
    <xf numFmtId="0" fontId="15" fillId="0" borderId="0" xfId="1" applyFont="1"/>
    <xf numFmtId="0" fontId="10" fillId="0" borderId="0" xfId="6" applyBorder="1"/>
    <xf numFmtId="0" fontId="10" fillId="0" borderId="0" xfId="6"/>
    <xf numFmtId="0" fontId="12" fillId="0" borderId="0" xfId="0" applyFont="1" applyBorder="1"/>
    <xf numFmtId="0" fontId="0" fillId="0" borderId="0" xfId="0" applyFont="1"/>
    <xf numFmtId="0" fontId="12" fillId="0" borderId="0" xfId="0" applyFont="1" applyBorder="1" applyAlignment="1">
      <alignment horizontal="left"/>
    </xf>
    <xf numFmtId="164" fontId="12" fillId="0" borderId="3" xfId="7" applyNumberFormat="1" applyFont="1" applyBorder="1" applyAlignment="1" applyProtection="1"/>
    <xf numFmtId="0" fontId="12" fillId="0" borderId="3" xfId="0" applyFont="1" applyBorder="1" applyAlignment="1"/>
    <xf numFmtId="11" fontId="12" fillId="0" borderId="3" xfId="0" applyNumberFormat="1" applyFont="1" applyBorder="1" applyAlignment="1"/>
    <xf numFmtId="0" fontId="0" fillId="0" borderId="0" xfId="0" applyAlignment="1"/>
    <xf numFmtId="2" fontId="12" fillId="0" borderId="3" xfId="7" applyNumberFormat="1" applyFont="1" applyBorder="1" applyAlignment="1" applyProtection="1"/>
    <xf numFmtId="0" fontId="11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2" fillId="0" borderId="0" xfId="0" applyNumberFormat="1" applyFont="1" applyBorder="1" applyAlignment="1">
      <alignment horizontal="left"/>
    </xf>
    <xf numFmtId="0" fontId="11" fillId="0" borderId="4" xfId="0" applyFont="1" applyBorder="1"/>
    <xf numFmtId="165" fontId="12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2" fillId="0" borderId="3" xfId="7" applyNumberFormat="1" applyFont="1" applyBorder="1" applyAlignment="1" applyProtection="1">
      <alignment wrapText="1"/>
    </xf>
    <xf numFmtId="0" fontId="20" fillId="0" borderId="0" xfId="1" applyFont="1" applyAlignment="1">
      <alignment horizontal="center"/>
    </xf>
    <xf numFmtId="0" fontId="21" fillId="0" borderId="0" xfId="1" applyFont="1"/>
    <xf numFmtId="0" fontId="24" fillId="0" borderId="0" xfId="6" applyFont="1" applyFill="1" applyBorder="1"/>
    <xf numFmtId="0" fontId="10" fillId="0" borderId="0" xfId="6" applyFill="1"/>
    <xf numFmtId="0" fontId="10" fillId="0" borderId="0" xfId="6" applyFill="1" applyBorder="1"/>
    <xf numFmtId="0" fontId="10" fillId="0" borderId="0" xfId="6" applyFont="1"/>
    <xf numFmtId="0" fontId="10" fillId="0" borderId="0" xfId="6" applyFont="1" applyFill="1" applyBorder="1"/>
    <xf numFmtId="0" fontId="10" fillId="0" borderId="0" xfId="6" applyFont="1" applyFill="1"/>
    <xf numFmtId="0" fontId="19" fillId="0" borderId="7" xfId="1" applyFont="1" applyFill="1" applyBorder="1" applyAlignment="1">
      <alignment horizontal="left"/>
    </xf>
    <xf numFmtId="0" fontId="17" fillId="0" borderId="0" xfId="1" applyFont="1"/>
    <xf numFmtId="0" fontId="22" fillId="0" borderId="0" xfId="1" applyFont="1"/>
    <xf numFmtId="0" fontId="24" fillId="3" borderId="0" xfId="6" applyFont="1" applyFill="1" applyBorder="1" applyAlignment="1"/>
    <xf numFmtId="171" fontId="15" fillId="0" borderId="0" xfId="1" applyNumberFormat="1" applyFont="1"/>
    <xf numFmtId="0" fontId="20" fillId="0" borderId="8" xfId="1" applyFont="1" applyBorder="1" applyAlignment="1">
      <alignment horizontal="center" wrapText="1"/>
    </xf>
    <xf numFmtId="2" fontId="20" fillId="0" borderId="8" xfId="1" applyNumberFormat="1" applyFont="1" applyBorder="1" applyAlignment="1">
      <alignment horizontal="center" wrapText="1"/>
    </xf>
    <xf numFmtId="171" fontId="20" fillId="0" borderId="8" xfId="5" applyFont="1" applyBorder="1" applyAlignment="1">
      <alignment horizontal="center" wrapText="1"/>
    </xf>
    <xf numFmtId="0" fontId="25" fillId="4" borderId="9" xfId="6" applyFont="1" applyFill="1" applyBorder="1"/>
    <xf numFmtId="0" fontId="25" fillId="4" borderId="11" xfId="6" applyFont="1" applyFill="1" applyBorder="1"/>
    <xf numFmtId="0" fontId="25" fillId="4" borderId="10" xfId="6" applyFont="1" applyFill="1" applyBorder="1"/>
    <xf numFmtId="0" fontId="25" fillId="4" borderId="12" xfId="6" applyFont="1" applyFill="1" applyBorder="1"/>
    <xf numFmtId="0" fontId="10" fillId="5" borderId="14" xfId="6" quotePrefix="1" applyFill="1" applyBorder="1" applyAlignment="1">
      <alignment horizontal="left"/>
    </xf>
    <xf numFmtId="2" fontId="10" fillId="6" borderId="15" xfId="6" quotePrefix="1" applyNumberFormat="1" applyFill="1" applyBorder="1" applyAlignment="1">
      <alignment horizontal="right"/>
    </xf>
    <xf numFmtId="0" fontId="25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2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1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2" fillId="0" borderId="16" xfId="0" applyFont="1" applyBorder="1"/>
    <xf numFmtId="0" fontId="12" fillId="0" borderId="16" xfId="7" applyNumberFormat="1" applyFont="1" applyBorder="1" applyAlignment="1" applyProtection="1"/>
    <xf numFmtId="165" fontId="12" fillId="0" borderId="16" xfId="7" applyNumberFormat="1" applyFont="1" applyBorder="1" applyAlignment="1" applyProtection="1"/>
    <xf numFmtId="164" fontId="12" fillId="0" borderId="16" xfId="7" applyNumberFormat="1" applyFont="1" applyBorder="1" applyAlignment="1" applyProtection="1"/>
    <xf numFmtId="11" fontId="12" fillId="0" borderId="16" xfId="0" applyNumberFormat="1" applyFont="1" applyBorder="1"/>
    <xf numFmtId="167" fontId="12" fillId="0" borderId="16" xfId="7" applyNumberFormat="1" applyFont="1" applyBorder="1" applyAlignment="1" applyProtection="1"/>
    <xf numFmtId="168" fontId="12" fillId="0" borderId="16" xfId="7" applyNumberFormat="1" applyFont="1" applyBorder="1" applyAlignment="1" applyProtection="1"/>
    <xf numFmtId="0" fontId="0" fillId="0" borderId="16" xfId="0" applyBorder="1" applyAlignment="1"/>
    <xf numFmtId="2" fontId="12" fillId="0" borderId="16" xfId="7" applyNumberFormat="1" applyFont="1" applyBorder="1" applyAlignment="1" applyProtection="1"/>
    <xf numFmtId="169" fontId="12" fillId="0" borderId="16" xfId="7" applyNumberFormat="1" applyFont="1" applyBorder="1" applyAlignment="1" applyProtection="1"/>
    <xf numFmtId="37" fontId="12" fillId="0" borderId="16" xfId="7" applyNumberFormat="1" applyFont="1" applyBorder="1" applyAlignment="1" applyProtection="1"/>
    <xf numFmtId="0" fontId="12" fillId="0" borderId="16" xfId="0" applyFont="1" applyBorder="1" applyAlignment="1">
      <alignment horizontal="right"/>
    </xf>
    <xf numFmtId="0" fontId="11" fillId="0" borderId="26" xfId="0" applyFont="1" applyBorder="1"/>
    <xf numFmtId="0" fontId="12" fillId="0" borderId="22" xfId="0" applyFont="1" applyBorder="1" applyAlignment="1"/>
    <xf numFmtId="0" fontId="26" fillId="0" borderId="16" xfId="8" applyNumberFormat="1" applyBorder="1" applyAlignment="1" applyProtection="1"/>
    <xf numFmtId="0" fontId="26" fillId="0" borderId="0" xfId="8" applyBorder="1"/>
    <xf numFmtId="0" fontId="26" fillId="0" borderId="0" xfId="8"/>
    <xf numFmtId="0" fontId="10" fillId="5" borderId="14" xfId="6" quotePrefix="1" applyFont="1" applyFill="1" applyBorder="1" applyAlignment="1">
      <alignment horizontal="left"/>
    </xf>
    <xf numFmtId="0" fontId="9" fillId="5" borderId="14" xfId="6" applyFont="1" applyFill="1" applyBorder="1"/>
    <xf numFmtId="0" fontId="9" fillId="5" borderId="13" xfId="6" applyFont="1" applyFill="1" applyBorder="1"/>
    <xf numFmtId="172" fontId="12" fillId="0" borderId="16" xfId="7" applyNumberFormat="1" applyFont="1" applyBorder="1" applyAlignment="1" applyProtection="1"/>
    <xf numFmtId="172" fontId="19" fillId="0" borderId="7" xfId="1" applyNumberFormat="1" applyFont="1" applyFill="1" applyBorder="1" applyAlignment="1">
      <alignment horizontal="right"/>
    </xf>
    <xf numFmtId="173" fontId="12" fillId="0" borderId="16" xfId="7" applyNumberFormat="1" applyFont="1" applyBorder="1" applyAlignment="1" applyProtection="1"/>
    <xf numFmtId="0" fontId="11" fillId="7" borderId="16" xfId="0" applyFont="1" applyFill="1" applyBorder="1"/>
    <xf numFmtId="0" fontId="11" fillId="7" borderId="0" xfId="0" applyFont="1" applyFill="1" applyBorder="1"/>
    <xf numFmtId="165" fontId="11" fillId="7" borderId="16" xfId="0" applyNumberFormat="1" applyFont="1" applyFill="1" applyBorder="1"/>
    <xf numFmtId="0" fontId="11" fillId="7" borderId="16" xfId="0" applyFont="1" applyFill="1" applyBorder="1" applyAlignment="1">
      <alignment horizontal="right"/>
    </xf>
    <xf numFmtId="0" fontId="11" fillId="8" borderId="16" xfId="0" applyFont="1" applyFill="1" applyBorder="1"/>
    <xf numFmtId="0" fontId="11" fillId="8" borderId="16" xfId="0" applyFont="1" applyFill="1" applyBorder="1" applyAlignment="1">
      <alignment horizontal="left"/>
    </xf>
    <xf numFmtId="0" fontId="11" fillId="8" borderId="2" xfId="0" applyFont="1" applyFill="1" applyBorder="1"/>
    <xf numFmtId="0" fontId="11" fillId="8" borderId="27" xfId="0" applyFont="1" applyFill="1" applyBorder="1"/>
    <xf numFmtId="0" fontId="11" fillId="8" borderId="5" xfId="0" applyFont="1" applyFill="1" applyBorder="1"/>
    <xf numFmtId="0" fontId="11" fillId="8" borderId="3" xfId="0" applyFont="1" applyFill="1" applyBorder="1"/>
    <xf numFmtId="0" fontId="11" fillId="8" borderId="3" xfId="0" applyFont="1" applyFill="1" applyBorder="1" applyAlignment="1">
      <alignment horizontal="right"/>
    </xf>
    <xf numFmtId="165" fontId="11" fillId="8" borderId="5" xfId="0" applyNumberFormat="1" applyFont="1" applyFill="1" applyBorder="1"/>
    <xf numFmtId="0" fontId="11" fillId="8" borderId="22" xfId="0" applyFont="1" applyFill="1" applyBorder="1"/>
    <xf numFmtId="0" fontId="11" fillId="8" borderId="5" xfId="0" applyFont="1" applyFill="1" applyBorder="1" applyAlignment="1">
      <alignment horizontal="right"/>
    </xf>
    <xf numFmtId="0" fontId="19" fillId="9" borderId="3" xfId="1" applyFont="1" applyFill="1" applyBorder="1" applyProtection="1">
      <protection locked="0"/>
    </xf>
    <xf numFmtId="0" fontId="19" fillId="9" borderId="3" xfId="1" applyFont="1" applyFill="1" applyBorder="1" applyAlignment="1">
      <alignment horizontal="left"/>
    </xf>
    <xf numFmtId="18" fontId="19" fillId="9" borderId="3" xfId="1" applyNumberFormat="1" applyFont="1" applyFill="1" applyBorder="1" applyAlignment="1" applyProtection="1">
      <protection locked="0"/>
    </xf>
    <xf numFmtId="172" fontId="19" fillId="9" borderId="3" xfId="5" applyNumberFormat="1" applyFont="1" applyFill="1" applyBorder="1" applyProtection="1">
      <protection locked="0"/>
    </xf>
    <xf numFmtId="172" fontId="19" fillId="9" borderId="3" xfId="1" applyNumberFormat="1" applyFont="1" applyFill="1" applyBorder="1" applyAlignment="1" applyProtection="1">
      <alignment horizontal="center"/>
      <protection locked="0"/>
    </xf>
    <xf numFmtId="172" fontId="19" fillId="9" borderId="3" xfId="1" applyNumberFormat="1" applyFont="1" applyFill="1" applyBorder="1" applyAlignment="1">
      <alignment horizontal="right"/>
    </xf>
    <xf numFmtId="0" fontId="19" fillId="9" borderId="3" xfId="1" applyFont="1" applyFill="1" applyBorder="1" applyAlignment="1">
      <alignment horizontal="center"/>
    </xf>
    <xf numFmtId="0" fontId="19" fillId="10" borderId="3" xfId="1" applyFont="1" applyFill="1" applyBorder="1" applyProtection="1">
      <protection locked="0"/>
    </xf>
    <xf numFmtId="18" fontId="19" fillId="10" borderId="3" xfId="1" applyNumberFormat="1" applyFont="1" applyFill="1" applyBorder="1" applyAlignment="1" applyProtection="1">
      <protection locked="0"/>
    </xf>
    <xf numFmtId="0" fontId="26" fillId="10" borderId="3" xfId="8" applyFill="1" applyBorder="1" applyAlignment="1">
      <alignment horizontal="left"/>
    </xf>
    <xf numFmtId="172" fontId="19" fillId="10" borderId="3" xfId="5" applyNumberFormat="1" applyFont="1" applyFill="1" applyBorder="1" applyProtection="1">
      <protection locked="0"/>
    </xf>
    <xf numFmtId="172" fontId="19" fillId="10" borderId="3" xfId="1" applyNumberFormat="1" applyFont="1" applyFill="1" applyBorder="1" applyAlignment="1" applyProtection="1">
      <alignment horizontal="center"/>
      <protection locked="0"/>
    </xf>
    <xf numFmtId="172" fontId="19" fillId="10" borderId="3" xfId="1" applyNumberFormat="1" applyFont="1" applyFill="1" applyBorder="1" applyAlignment="1">
      <alignment horizontal="right"/>
    </xf>
    <xf numFmtId="0" fontId="19" fillId="10" borderId="3" xfId="1" applyFont="1" applyFill="1" applyBorder="1" applyAlignment="1">
      <alignment horizontal="center"/>
    </xf>
    <xf numFmtId="0" fontId="19" fillId="10" borderId="3" xfId="1" applyFont="1" applyFill="1" applyBorder="1" applyAlignment="1" applyProtection="1">
      <alignment horizontal="center"/>
      <protection locked="0"/>
    </xf>
    <xf numFmtId="170" fontId="34" fillId="0" borderId="0" xfId="11" applyFont="1" applyFill="1" applyBorder="1">
      <alignment vertical="center" wrapText="1"/>
    </xf>
    <xf numFmtId="0" fontId="12" fillId="0" borderId="16" xfId="0" applyNumberFormat="1" applyFont="1" applyBorder="1"/>
    <xf numFmtId="165" fontId="29" fillId="0" borderId="28" xfId="29" applyFont="1" applyFill="1" applyBorder="1" applyAlignment="1" applyProtection="1"/>
    <xf numFmtId="39" fontId="29" fillId="0" borderId="28" xfId="29" applyNumberFormat="1" applyFont="1" applyFill="1" applyBorder="1" applyAlignment="1" applyProtection="1"/>
    <xf numFmtId="37" fontId="29" fillId="0" borderId="30" xfId="29" applyNumberFormat="1" applyFont="1" applyFill="1" applyBorder="1" applyAlignment="1" applyProtection="1"/>
    <xf numFmtId="165" fontId="29" fillId="0" borderId="30" xfId="29" applyFont="1" applyFill="1" applyBorder="1" applyAlignment="1" applyProtection="1"/>
    <xf numFmtId="37" fontId="29" fillId="0" borderId="28" xfId="29" applyNumberFormat="1" applyFont="1" applyFill="1" applyBorder="1" applyAlignment="1" applyProtection="1"/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29" fillId="0" borderId="29" xfId="31" applyFont="1" applyFill="1" applyBorder="1"/>
    <xf numFmtId="18" fontId="26" fillId="9" borderId="3" xfId="8" applyNumberFormat="1" applyFill="1" applyBorder="1" applyAlignment="1" applyProtection="1">
      <protection locked="0"/>
    </xf>
    <xf numFmtId="0" fontId="29" fillId="0" borderId="3" xfId="9" applyFont="1" applyFill="1" applyBorder="1" applyAlignment="1" applyProtection="1">
      <alignment wrapText="1"/>
    </xf>
    <xf numFmtId="0" fontId="29" fillId="0" borderId="3" xfId="9" applyFont="1" applyFill="1" applyBorder="1" applyAlignment="1">
      <alignment horizontal="left" wrapText="1"/>
    </xf>
    <xf numFmtId="1" fontId="12" fillId="0" borderId="3" xfId="7" applyNumberFormat="1" applyFont="1" applyBorder="1" applyAlignment="1" applyProtection="1"/>
    <xf numFmtId="178" fontId="12" fillId="0" borderId="3" xfId="0" applyNumberFormat="1" applyFont="1" applyBorder="1" applyAlignment="1"/>
    <xf numFmtId="170" fontId="34" fillId="0" borderId="3" xfId="11" applyNumberFormat="1" applyFont="1" applyFill="1" applyBorder="1">
      <alignment vertical="center" wrapText="1"/>
    </xf>
    <xf numFmtId="165" fontId="12" fillId="0" borderId="31" xfId="7" applyNumberFormat="1" applyFont="1" applyBorder="1" applyAlignment="1" applyProtection="1"/>
    <xf numFmtId="0" fontId="19" fillId="9" borderId="3" xfId="1" applyFont="1" applyFill="1" applyBorder="1" applyAlignment="1" applyProtection="1">
      <alignment horizontal="center"/>
      <protection locked="0"/>
    </xf>
    <xf numFmtId="0" fontId="13" fillId="0" borderId="17" xfId="33" applyBorder="1"/>
    <xf numFmtId="0" fontId="13" fillId="0" borderId="18" xfId="33" applyBorder="1"/>
    <xf numFmtId="0" fontId="13" fillId="0" borderId="19" xfId="33" applyBorder="1"/>
    <xf numFmtId="0" fontId="13" fillId="0" borderId="0" xfId="33"/>
    <xf numFmtId="0" fontId="11" fillId="7" borderId="16" xfId="33" applyFont="1" applyFill="1" applyBorder="1"/>
    <xf numFmtId="0" fontId="12" fillId="0" borderId="0" xfId="33" applyFont="1" applyBorder="1"/>
    <xf numFmtId="0" fontId="13" fillId="0" borderId="0" xfId="33" applyBorder="1"/>
    <xf numFmtId="0" fontId="12" fillId="0" borderId="16" xfId="33" applyFont="1" applyBorder="1" applyAlignment="1">
      <alignment horizontal="right"/>
    </xf>
    <xf numFmtId="0" fontId="13" fillId="0" borderId="20" xfId="33" applyBorder="1"/>
    <xf numFmtId="0" fontId="13" fillId="0" borderId="0" xfId="33" applyFont="1" applyBorder="1"/>
    <xf numFmtId="0" fontId="11" fillId="7" borderId="0" xfId="33" applyFont="1" applyFill="1" applyBorder="1"/>
    <xf numFmtId="0" fontId="12" fillId="0" borderId="0" xfId="33" applyFont="1" applyBorder="1" applyAlignment="1">
      <alignment horizontal="left"/>
    </xf>
    <xf numFmtId="0" fontId="13" fillId="0" borderId="21" xfId="33" applyBorder="1"/>
    <xf numFmtId="0" fontId="12" fillId="0" borderId="16" xfId="33" applyFont="1" applyBorder="1"/>
    <xf numFmtId="0" fontId="12" fillId="0" borderId="16" xfId="33" applyNumberFormat="1" applyFont="1" applyBorder="1"/>
    <xf numFmtId="0" fontId="13" fillId="0" borderId="0" xfId="33" applyFont="1"/>
    <xf numFmtId="0" fontId="13" fillId="0" borderId="20" xfId="33" applyFont="1" applyBorder="1"/>
    <xf numFmtId="0" fontId="11" fillId="7" borderId="16" xfId="33" applyFont="1" applyFill="1" applyBorder="1" applyAlignment="1">
      <alignment horizontal="right"/>
    </xf>
    <xf numFmtId="165" fontId="11" fillId="7" borderId="16" xfId="33" applyNumberFormat="1" applyFont="1" applyFill="1" applyBorder="1"/>
    <xf numFmtId="11" fontId="12" fillId="0" borderId="16" xfId="33" applyNumberFormat="1" applyFont="1" applyBorder="1"/>
    <xf numFmtId="0" fontId="29" fillId="0" borderId="28" xfId="34" applyFont="1" applyFill="1" applyBorder="1"/>
    <xf numFmtId="0" fontId="29" fillId="0" borderId="28" xfId="34" applyFont="1" applyFill="1" applyBorder="1" applyAlignment="1">
      <alignment wrapText="1"/>
    </xf>
    <xf numFmtId="0" fontId="12" fillId="0" borderId="16" xfId="33" applyFont="1" applyBorder="1" applyAlignment="1"/>
    <xf numFmtId="11" fontId="12" fillId="0" borderId="16" xfId="33" applyNumberFormat="1" applyFont="1" applyBorder="1" applyAlignment="1"/>
    <xf numFmtId="0" fontId="13" fillId="0" borderId="16" xfId="33" applyBorder="1" applyAlignment="1"/>
    <xf numFmtId="0" fontId="13" fillId="0" borderId="20" xfId="33" applyBorder="1" applyAlignment="1"/>
    <xf numFmtId="0" fontId="13" fillId="0" borderId="0" xfId="33" applyAlignment="1"/>
    <xf numFmtId="0" fontId="11" fillId="0" borderId="21" xfId="33" applyFont="1" applyBorder="1"/>
    <xf numFmtId="0" fontId="11" fillId="0" borderId="0" xfId="33" applyFont="1" applyBorder="1"/>
    <xf numFmtId="0" fontId="13" fillId="0" borderId="20" xfId="33" applyBorder="1" applyAlignment="1">
      <alignment wrapText="1"/>
    </xf>
    <xf numFmtId="0" fontId="13" fillId="0" borderId="0" xfId="33" applyAlignment="1">
      <alignment wrapText="1"/>
    </xf>
    <xf numFmtId="0" fontId="29" fillId="0" borderId="28" xfId="34" applyNumberFormat="1" applyFont="1" applyFill="1" applyBorder="1"/>
    <xf numFmtId="0" fontId="28" fillId="0" borderId="0" xfId="9"/>
    <xf numFmtId="4" fontId="29" fillId="0" borderId="28" xfId="34" applyNumberFormat="1" applyFont="1" applyFill="1" applyBorder="1"/>
    <xf numFmtId="0" fontId="23" fillId="0" borderId="28" xfId="34" applyFont="1" applyFill="1" applyBorder="1"/>
    <xf numFmtId="2" fontId="29" fillId="0" borderId="28" xfId="34" applyNumberFormat="1" applyFont="1" applyFill="1" applyBorder="1"/>
    <xf numFmtId="0" fontId="13" fillId="0" borderId="0" xfId="33" applyBorder="1" applyAlignment="1">
      <alignment wrapText="1"/>
    </xf>
    <xf numFmtId="0" fontId="13" fillId="0" borderId="23" xfId="33" applyBorder="1"/>
    <xf numFmtId="0" fontId="13" fillId="0" borderId="24" xfId="33" applyBorder="1"/>
    <xf numFmtId="0" fontId="13" fillId="0" borderId="25" xfId="33" applyBorder="1"/>
    <xf numFmtId="0" fontId="11" fillId="8" borderId="16" xfId="33" applyFont="1" applyFill="1" applyBorder="1"/>
    <xf numFmtId="0" fontId="11" fillId="8" borderId="16" xfId="33" applyFont="1" applyFill="1" applyBorder="1" applyAlignment="1">
      <alignment horizontal="left"/>
    </xf>
    <xf numFmtId="0" fontId="11" fillId="8" borderId="2" xfId="33" applyFont="1" applyFill="1" applyBorder="1"/>
    <xf numFmtId="49" fontId="12" fillId="0" borderId="0" xfId="33" applyNumberFormat="1" applyFont="1" applyBorder="1" applyAlignment="1">
      <alignment horizontal="left"/>
    </xf>
    <xf numFmtId="0" fontId="11" fillId="0" borderId="26" xfId="33" applyFont="1" applyBorder="1"/>
    <xf numFmtId="0" fontId="11" fillId="0" borderId="4" xfId="33" applyFont="1" applyBorder="1"/>
    <xf numFmtId="0" fontId="11" fillId="8" borderId="27" xfId="33" applyFont="1" applyFill="1" applyBorder="1"/>
    <xf numFmtId="0" fontId="11" fillId="8" borderId="5" xfId="33" applyFont="1" applyFill="1" applyBorder="1"/>
    <xf numFmtId="0" fontId="11" fillId="8" borderId="3" xfId="33" applyFont="1" applyFill="1" applyBorder="1"/>
    <xf numFmtId="0" fontId="12" fillId="0" borderId="22" xfId="33" applyFont="1" applyBorder="1" applyAlignment="1"/>
    <xf numFmtId="0" fontId="13" fillId="0" borderId="3" xfId="33" applyBorder="1"/>
    <xf numFmtId="0" fontId="12" fillId="0" borderId="3" xfId="33" applyFont="1" applyBorder="1" applyAlignment="1"/>
    <xf numFmtId="11" fontId="12" fillId="0" borderId="3" xfId="33" applyNumberFormat="1" applyFont="1" applyBorder="1" applyAlignment="1"/>
    <xf numFmtId="0" fontId="11" fillId="8" borderId="3" xfId="33" applyFont="1" applyFill="1" applyBorder="1" applyAlignment="1">
      <alignment horizontal="right"/>
    </xf>
    <xf numFmtId="165" fontId="11" fillId="8" borderId="5" xfId="33" applyNumberFormat="1" applyFont="1" applyFill="1" applyBorder="1"/>
    <xf numFmtId="176" fontId="13" fillId="0" borderId="0" xfId="33" applyNumberFormat="1"/>
    <xf numFmtId="0" fontId="11" fillId="8" borderId="22" xfId="33" applyFont="1" applyFill="1" applyBorder="1"/>
    <xf numFmtId="0" fontId="13" fillId="0" borderId="22" xfId="33" applyBorder="1" applyAlignment="1">
      <alignment wrapText="1"/>
    </xf>
    <xf numFmtId="0" fontId="13" fillId="0" borderId="3" xfId="33" applyBorder="1" applyAlignment="1">
      <alignment wrapText="1"/>
    </xf>
    <xf numFmtId="0" fontId="12" fillId="0" borderId="22" xfId="33" applyFont="1" applyBorder="1"/>
    <xf numFmtId="0" fontId="11" fillId="8" borderId="5" xfId="33" applyFont="1" applyFill="1" applyBorder="1" applyAlignment="1">
      <alignment horizontal="right"/>
    </xf>
    <xf numFmtId="0" fontId="11" fillId="8" borderId="31" xfId="33" applyFont="1" applyFill="1" applyBorder="1"/>
    <xf numFmtId="0" fontId="12" fillId="0" borderId="32" xfId="7" applyNumberFormat="1" applyFont="1" applyBorder="1" applyAlignment="1" applyProtection="1"/>
    <xf numFmtId="176" fontId="12" fillId="0" borderId="3" xfId="33" applyNumberFormat="1" applyFont="1" applyBorder="1" applyAlignment="1"/>
    <xf numFmtId="0" fontId="12" fillId="0" borderId="3" xfId="33" applyNumberFormat="1" applyFont="1" applyBorder="1"/>
    <xf numFmtId="0" fontId="13" fillId="10" borderId="0" xfId="33" applyFill="1"/>
    <xf numFmtId="49" fontId="26" fillId="0" borderId="0" xfId="8" applyNumberFormat="1"/>
    <xf numFmtId="0" fontId="28" fillId="0" borderId="3" xfId="9" applyBorder="1"/>
    <xf numFmtId="0" fontId="29" fillId="0" borderId="3" xfId="30" applyFont="1" applyFill="1" applyBorder="1" applyAlignment="1">
      <alignment wrapText="1"/>
    </xf>
    <xf numFmtId="170" fontId="29" fillId="0" borderId="3" xfId="3" applyFont="1" applyFill="1" applyBorder="1"/>
    <xf numFmtId="170" fontId="29" fillId="0" borderId="3" xfId="3" applyNumberFormat="1" applyFont="1" applyFill="1" applyBorder="1" applyAlignment="1"/>
    <xf numFmtId="177" fontId="29" fillId="0" borderId="3" xfId="9" applyNumberFormat="1" applyFont="1" applyFill="1" applyBorder="1" applyAlignment="1">
      <alignment horizontal="right" wrapText="1"/>
    </xf>
    <xf numFmtId="0" fontId="29" fillId="0" borderId="3" xfId="9" applyFont="1" applyFill="1" applyBorder="1"/>
    <xf numFmtId="0" fontId="29" fillId="0" borderId="3" xfId="9" applyFont="1" applyFill="1" applyBorder="1" applyAlignment="1">
      <alignment wrapText="1"/>
    </xf>
    <xf numFmtId="0" fontId="11" fillId="0" borderId="0" xfId="9" applyFont="1" applyBorder="1"/>
    <xf numFmtId="0" fontId="28" fillId="0" borderId="20" xfId="9" applyBorder="1" applyAlignment="1">
      <alignment wrapText="1"/>
    </xf>
    <xf numFmtId="0" fontId="28" fillId="0" borderId="0" xfId="9" applyBorder="1"/>
    <xf numFmtId="0" fontId="28" fillId="0" borderId="20" xfId="9" applyBorder="1"/>
    <xf numFmtId="0" fontId="29" fillId="0" borderId="3" xfId="9" applyNumberFormat="1" applyFont="1" applyFill="1" applyBorder="1" applyAlignment="1">
      <alignment wrapText="1"/>
    </xf>
    <xf numFmtId="0" fontId="13" fillId="0" borderId="0" xfId="9" applyFont="1" applyBorder="1"/>
    <xf numFmtId="0" fontId="13" fillId="0" borderId="20" xfId="9" applyFont="1" applyBorder="1"/>
    <xf numFmtId="0" fontId="29" fillId="0" borderId="6" xfId="30" applyFont="1" applyFill="1" applyBorder="1" applyAlignment="1">
      <alignment wrapText="1"/>
    </xf>
    <xf numFmtId="0" fontId="28" fillId="0" borderId="0" xfId="9" applyAlignment="1">
      <alignment wrapText="1"/>
    </xf>
    <xf numFmtId="0" fontId="34" fillId="0" borderId="3" xfId="9" applyFont="1" applyBorder="1"/>
    <xf numFmtId="0" fontId="12" fillId="0" borderId="33" xfId="0" applyFont="1" applyBorder="1"/>
    <xf numFmtId="0" fontId="29" fillId="0" borderId="29" xfId="31" applyFont="1" applyFill="1" applyBorder="1" applyAlignment="1">
      <alignment wrapText="1"/>
    </xf>
    <xf numFmtId="165" fontId="12" fillId="0" borderId="33" xfId="7" applyNumberFormat="1" applyFont="1" applyBorder="1" applyAlignment="1" applyProtection="1"/>
    <xf numFmtId="164" fontId="12" fillId="0" borderId="33" xfId="7" applyNumberFormat="1" applyFont="1" applyBorder="1" applyAlignment="1" applyProtection="1"/>
    <xf numFmtId="2" fontId="12" fillId="0" borderId="33" xfId="7" applyNumberFormat="1" applyFont="1" applyBorder="1" applyAlignment="1" applyProtection="1"/>
    <xf numFmtId="0" fontId="0" fillId="0" borderId="33" xfId="0" applyBorder="1" applyAlignment="1"/>
    <xf numFmtId="165" fontId="11" fillId="7" borderId="34" xfId="0" applyNumberFormat="1" applyFont="1" applyFill="1" applyBorder="1"/>
    <xf numFmtId="0" fontId="11" fillId="7" borderId="36" xfId="0" applyFont="1" applyFill="1" applyBorder="1"/>
    <xf numFmtId="0" fontId="11" fillId="15" borderId="16" xfId="9" applyFont="1" applyFill="1" applyBorder="1"/>
    <xf numFmtId="170" fontId="29" fillId="0" borderId="3" xfId="36" applyFont="1" applyFill="1" applyBorder="1"/>
    <xf numFmtId="170" fontId="29" fillId="0" borderId="3" xfId="36" applyNumberFormat="1" applyFont="1" applyFill="1" applyBorder="1"/>
    <xf numFmtId="0" fontId="11" fillId="0" borderId="21" xfId="9" applyFont="1" applyBorder="1"/>
    <xf numFmtId="165" fontId="11" fillId="7" borderId="34" xfId="9" applyNumberFormat="1" applyFont="1" applyFill="1" applyBorder="1"/>
    <xf numFmtId="0" fontId="11" fillId="7" borderId="34" xfId="9" applyFont="1" applyFill="1" applyBorder="1" applyAlignment="1">
      <alignment horizontal="right"/>
    </xf>
    <xf numFmtId="11" fontId="12" fillId="0" borderId="16" xfId="7" applyNumberFormat="1" applyFont="1" applyBorder="1" applyAlignment="1" applyProtection="1"/>
    <xf numFmtId="0" fontId="12" fillId="0" borderId="3" xfId="9" applyFont="1" applyBorder="1" applyAlignment="1">
      <alignment wrapText="1"/>
    </xf>
    <xf numFmtId="0" fontId="12" fillId="0" borderId="3" xfId="30" applyFont="1" applyFill="1" applyBorder="1" applyAlignment="1">
      <alignment wrapText="1"/>
    </xf>
    <xf numFmtId="170" fontId="12" fillId="0" borderId="3" xfId="3" applyFont="1" applyFill="1" applyBorder="1" applyAlignment="1">
      <alignment wrapText="1"/>
    </xf>
    <xf numFmtId="0" fontId="12" fillId="0" borderId="3" xfId="9" applyFont="1" applyFill="1" applyBorder="1"/>
    <xf numFmtId="0" fontId="12" fillId="0" borderId="3" xfId="9" applyFont="1" applyFill="1" applyBorder="1" applyAlignment="1">
      <alignment wrapText="1"/>
    </xf>
    <xf numFmtId="170" fontId="12" fillId="0" borderId="3" xfId="3" applyFont="1" applyFill="1" applyBorder="1"/>
    <xf numFmtId="1" fontId="12" fillId="0" borderId="3" xfId="9" applyNumberFormat="1" applyFont="1" applyFill="1" applyBorder="1"/>
    <xf numFmtId="1" fontId="12" fillId="0" borderId="3" xfId="9" applyNumberFormat="1" applyFont="1" applyBorder="1" applyAlignment="1">
      <alignment wrapText="1"/>
    </xf>
    <xf numFmtId="181" fontId="12" fillId="0" borderId="16" xfId="7" applyNumberFormat="1" applyFont="1" applyBorder="1" applyAlignment="1" applyProtection="1"/>
    <xf numFmtId="182" fontId="12" fillId="0" borderId="3" xfId="0" applyNumberFormat="1" applyFont="1" applyBorder="1" applyAlignment="1"/>
    <xf numFmtId="11" fontId="29" fillId="0" borderId="3" xfId="9" applyNumberFormat="1" applyFont="1" applyFill="1" applyBorder="1" applyAlignment="1">
      <alignment horizontal="right" wrapText="1"/>
    </xf>
    <xf numFmtId="0" fontId="11" fillId="7" borderId="34" xfId="0" applyFont="1" applyFill="1" applyBorder="1" applyAlignment="1">
      <alignment horizontal="right"/>
    </xf>
    <xf numFmtId="18" fontId="19" fillId="10" borderId="37" xfId="1" applyNumberFormat="1" applyFont="1" applyFill="1" applyBorder="1" applyAlignment="1" applyProtection="1">
      <protection locked="0"/>
    </xf>
    <xf numFmtId="0" fontId="19" fillId="10" borderId="37" xfId="1" applyFont="1" applyFill="1" applyBorder="1" applyAlignment="1">
      <alignment horizontal="center"/>
    </xf>
    <xf numFmtId="0" fontId="26" fillId="9" borderId="3" xfId="8" applyFill="1" applyBorder="1" applyAlignment="1">
      <alignment horizontal="left"/>
    </xf>
    <xf numFmtId="0" fontId="34" fillId="0" borderId="0" xfId="39" applyFont="1" applyBorder="1"/>
    <xf numFmtId="0" fontId="0" fillId="0" borderId="43" xfId="0" applyBorder="1"/>
    <xf numFmtId="170" fontId="34" fillId="0" borderId="0" xfId="39" applyNumberFormat="1" applyFont="1" applyBorder="1"/>
    <xf numFmtId="0" fontId="0" fillId="0" borderId="42" xfId="0" applyBorder="1"/>
    <xf numFmtId="0" fontId="34" fillId="0" borderId="0" xfId="39" applyFont="1" applyBorder="1" applyAlignment="1">
      <alignment horizontal="right"/>
    </xf>
    <xf numFmtId="37" fontId="34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6" fillId="0" borderId="0" xfId="8" applyFill="1" applyBorder="1"/>
    <xf numFmtId="170" fontId="29" fillId="0" borderId="3" xfId="36" applyFont="1" applyFill="1" applyBorder="1"/>
    <xf numFmtId="170" fontId="29" fillId="0" borderId="3" xfId="3" applyFont="1" applyFill="1" applyBorder="1"/>
    <xf numFmtId="170" fontId="29" fillId="0" borderId="3" xfId="36" applyNumberFormat="1" applyFont="1" applyFill="1" applyBorder="1"/>
    <xf numFmtId="0" fontId="26" fillId="0" borderId="0" xfId="8"/>
    <xf numFmtId="0" fontId="29" fillId="0" borderId="3" xfId="30" applyFont="1" applyFill="1" applyBorder="1" applyAlignment="1">
      <alignment wrapText="1"/>
    </xf>
    <xf numFmtId="165" fontId="12" fillId="0" borderId="3" xfId="7" applyNumberFormat="1" applyFont="1" applyBorder="1" applyAlignment="1" applyProtection="1"/>
    <xf numFmtId="164" fontId="12" fillId="0" borderId="3" xfId="7" applyNumberFormat="1" applyFont="1" applyBorder="1" applyAlignment="1" applyProtection="1"/>
    <xf numFmtId="0" fontId="34" fillId="0" borderId="44" xfId="39" applyFont="1" applyBorder="1"/>
    <xf numFmtId="0" fontId="39" fillId="0" borderId="44" xfId="39" applyFont="1" applyBorder="1"/>
    <xf numFmtId="0" fontId="39" fillId="0" borderId="0" xfId="39" applyFont="1" applyBorder="1"/>
    <xf numFmtId="1" fontId="29" fillId="0" borderId="46" xfId="42" applyNumberFormat="1" applyFont="1" applyFill="1" applyBorder="1"/>
    <xf numFmtId="0" fontId="29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39" fillId="16" borderId="38" xfId="39" applyFont="1" applyFill="1" applyBorder="1"/>
    <xf numFmtId="183" fontId="39" fillId="16" borderId="39" xfId="39" applyNumberFormat="1" applyFont="1" applyFill="1" applyBorder="1"/>
    <xf numFmtId="0" fontId="39" fillId="16" borderId="5" xfId="39" applyFont="1" applyFill="1" applyBorder="1" applyAlignment="1">
      <alignment horizontal="right"/>
    </xf>
    <xf numFmtId="170" fontId="39" fillId="16" borderId="39" xfId="39" applyNumberFormat="1" applyFont="1" applyFill="1" applyBorder="1"/>
    <xf numFmtId="0" fontId="39" fillId="16" borderId="46" xfId="39" applyFont="1" applyFill="1" applyBorder="1"/>
    <xf numFmtId="11" fontId="0" fillId="0" borderId="0" xfId="0" applyNumberFormat="1"/>
    <xf numFmtId="170" fontId="29" fillId="0" borderId="46" xfId="3" applyFont="1" applyFill="1" applyBorder="1"/>
    <xf numFmtId="170" fontId="29" fillId="0" borderId="46" xfId="3" applyNumberFormat="1" applyFont="1" applyFill="1" applyBorder="1" applyAlignment="1"/>
    <xf numFmtId="0" fontId="37" fillId="0" borderId="45" xfId="30" applyFont="1" applyFill="1" applyBorder="1" applyAlignment="1">
      <alignment wrapText="1"/>
    </xf>
    <xf numFmtId="0" fontId="40" fillId="0" borderId="46" xfId="39" applyFont="1" applyBorder="1"/>
    <xf numFmtId="0" fontId="37" fillId="13" borderId="46" xfId="42" applyFont="1" applyFill="1" applyBorder="1"/>
    <xf numFmtId="0" fontId="37" fillId="0" borderId="46" xfId="30" applyFont="1" applyFill="1" applyBorder="1" applyAlignment="1">
      <alignment wrapText="1"/>
    </xf>
    <xf numFmtId="0" fontId="40" fillId="0" borderId="0" xfId="39" applyFont="1" applyBorder="1"/>
    <xf numFmtId="170" fontId="37" fillId="13" borderId="46" xfId="42" applyNumberFormat="1" applyFont="1" applyFill="1" applyBorder="1"/>
    <xf numFmtId="170" fontId="37" fillId="0" borderId="46" xfId="3" applyNumberFormat="1" applyFont="1" applyFill="1" applyBorder="1" applyAlignment="1"/>
    <xf numFmtId="0" fontId="41" fillId="0" borderId="0" xfId="39" applyFont="1" applyBorder="1"/>
    <xf numFmtId="184" fontId="40" fillId="0" borderId="46" xfId="40" applyNumberFormat="1" applyFont="1" applyBorder="1"/>
    <xf numFmtId="0" fontId="37" fillId="0" borderId="0" xfId="0" applyFont="1" applyBorder="1"/>
    <xf numFmtId="0" fontId="11" fillId="8" borderId="51" xfId="0" applyFont="1" applyFill="1" applyBorder="1"/>
    <xf numFmtId="0" fontId="39" fillId="16" borderId="47" xfId="39" applyFont="1" applyFill="1" applyBorder="1"/>
    <xf numFmtId="0" fontId="29" fillId="0" borderId="46" xfId="42" applyFont="1" applyFill="1" applyBorder="1" applyAlignment="1" applyProtection="1">
      <alignment wrapText="1"/>
    </xf>
    <xf numFmtId="0" fontId="29" fillId="0" borderId="46" xfId="42" applyFont="1" applyFill="1" applyBorder="1" applyAlignment="1">
      <alignment horizontal="left"/>
    </xf>
    <xf numFmtId="177" fontId="29" fillId="0" borderId="46" xfId="42" applyNumberFormat="1" applyFont="1" applyFill="1" applyBorder="1"/>
    <xf numFmtId="0" fontId="29" fillId="0" borderId="46" xfId="42" applyFont="1" applyFill="1" applyBorder="1"/>
    <xf numFmtId="43" fontId="29" fillId="0" borderId="46" xfId="41" applyFont="1" applyFill="1" applyBorder="1"/>
    <xf numFmtId="11" fontId="29" fillId="0" borderId="46" xfId="42" applyNumberFormat="1" applyFont="1" applyFill="1" applyBorder="1" applyAlignment="1">
      <alignment wrapText="1"/>
    </xf>
    <xf numFmtId="11" fontId="29" fillId="0" borderId="46" xfId="41" applyNumberFormat="1" applyFont="1" applyFill="1" applyBorder="1"/>
    <xf numFmtId="0" fontId="29" fillId="0" borderId="46" xfId="41" applyNumberFormat="1" applyFont="1" applyFill="1" applyBorder="1"/>
    <xf numFmtId="170" fontId="29" fillId="0" borderId="46" xfId="36" applyNumberFormat="1" applyFont="1" applyFill="1" applyBorder="1"/>
    <xf numFmtId="170" fontId="34" fillId="0" borderId="46" xfId="43" applyFont="1" applyFill="1" applyBorder="1">
      <alignment vertical="center" wrapText="1"/>
    </xf>
    <xf numFmtId="11" fontId="4" fillId="0" borderId="46" xfId="39" applyNumberFormat="1" applyBorder="1"/>
    <xf numFmtId="0" fontId="29" fillId="0" borderId="46" xfId="39" applyFont="1" applyFill="1" applyBorder="1" applyAlignment="1" applyProtection="1">
      <alignment vertical="center" wrapText="1"/>
    </xf>
    <xf numFmtId="0" fontId="37" fillId="0" borderId="47" xfId="42" applyFont="1" applyBorder="1"/>
    <xf numFmtId="0" fontId="37" fillId="0" borderId="46" xfId="42" applyFont="1" applyBorder="1" applyAlignment="1">
      <alignment wrapText="1"/>
    </xf>
    <xf numFmtId="170" fontId="37" fillId="0" borderId="46" xfId="3" applyFont="1" applyFill="1" applyBorder="1"/>
    <xf numFmtId="0" fontId="37" fillId="0" borderId="46" xfId="42" applyFont="1" applyBorder="1"/>
    <xf numFmtId="0" fontId="37" fillId="0" borderId="47" xfId="42" applyFont="1" applyFill="1" applyBorder="1"/>
    <xf numFmtId="0" fontId="29" fillId="0" borderId="46" xfId="30" applyFont="1" applyFill="1" applyBorder="1" applyAlignment="1">
      <alignment wrapText="1"/>
    </xf>
    <xf numFmtId="175" fontId="37" fillId="0" borderId="46" xfId="42" applyNumberFormat="1" applyFont="1" applyFill="1" applyBorder="1"/>
    <xf numFmtId="0" fontId="34" fillId="0" borderId="3" xfId="9" applyFont="1" applyBorder="1" applyAlignment="1">
      <alignment wrapText="1"/>
    </xf>
    <xf numFmtId="0" fontId="34" fillId="0" borderId="3" xfId="30" applyFont="1" applyFill="1" applyBorder="1" applyAlignment="1">
      <alignment wrapText="1"/>
    </xf>
    <xf numFmtId="170" fontId="34" fillId="0" borderId="3" xfId="3" applyFont="1" applyFill="1" applyBorder="1" applyAlignment="1">
      <alignment wrapText="1"/>
    </xf>
    <xf numFmtId="170" fontId="34" fillId="0" borderId="3" xfId="3" applyNumberFormat="1" applyFont="1" applyFill="1" applyBorder="1" applyAlignment="1">
      <alignment wrapText="1"/>
    </xf>
    <xf numFmtId="0" fontId="34" fillId="0" borderId="3" xfId="9" applyFont="1" applyFill="1" applyBorder="1"/>
    <xf numFmtId="0" fontId="34" fillId="0" borderId="3" xfId="9" applyFont="1" applyFill="1" applyBorder="1" applyAlignment="1">
      <alignment wrapText="1"/>
    </xf>
    <xf numFmtId="170" fontId="34" fillId="0" borderId="3" xfId="3" applyFont="1" applyFill="1" applyBorder="1"/>
    <xf numFmtId="1" fontId="34" fillId="0" borderId="3" xfId="9" applyNumberFormat="1" applyFont="1" applyFill="1" applyBorder="1"/>
    <xf numFmtId="170" fontId="34" fillId="0" borderId="3" xfId="3" applyNumberFormat="1" applyFont="1" applyFill="1" applyBorder="1" applyAlignment="1"/>
    <xf numFmtId="0" fontId="42" fillId="0" borderId="17" xfId="0" applyFont="1" applyBorder="1"/>
    <xf numFmtId="0" fontId="42" fillId="0" borderId="18" xfId="0" applyFont="1" applyBorder="1"/>
    <xf numFmtId="0" fontId="42" fillId="0" borderId="19" xfId="0" applyFont="1" applyBorder="1"/>
    <xf numFmtId="0" fontId="39" fillId="8" borderId="16" xfId="0" applyFont="1" applyFill="1" applyBorder="1"/>
    <xf numFmtId="0" fontId="34" fillId="0" borderId="0" xfId="0" applyFont="1" applyBorder="1"/>
    <xf numFmtId="0" fontId="42" fillId="0" borderId="0" xfId="0" applyFont="1" applyBorder="1"/>
    <xf numFmtId="0" fontId="43" fillId="0" borderId="0" xfId="8" applyFont="1" applyBorder="1"/>
    <xf numFmtId="0" fontId="39" fillId="8" borderId="16" xfId="0" applyFont="1" applyFill="1" applyBorder="1" applyAlignment="1">
      <alignment horizontal="left"/>
    </xf>
    <xf numFmtId="0" fontId="34" fillId="0" borderId="16" xfId="0" applyFont="1" applyBorder="1" applyAlignment="1">
      <alignment horizontal="right"/>
    </xf>
    <xf numFmtId="165" fontId="34" fillId="0" borderId="16" xfId="7" applyNumberFormat="1" applyFont="1" applyBorder="1" applyAlignment="1" applyProtection="1"/>
    <xf numFmtId="0" fontId="42" fillId="0" borderId="20" xfId="0" applyFont="1" applyBorder="1"/>
    <xf numFmtId="0" fontId="42" fillId="0" borderId="0" xfId="0" applyFont="1"/>
    <xf numFmtId="37" fontId="34" fillId="0" borderId="16" xfId="7" applyNumberFormat="1" applyFont="1" applyBorder="1" applyAlignment="1" applyProtection="1"/>
    <xf numFmtId="0" fontId="39" fillId="8" borderId="2" xfId="0" applyFont="1" applyFill="1" applyBorder="1"/>
    <xf numFmtId="49" fontId="34" fillId="0" borderId="0" xfId="0" applyNumberFormat="1" applyFont="1" applyBorder="1" applyAlignment="1">
      <alignment horizontal="left"/>
    </xf>
    <xf numFmtId="0" fontId="39" fillId="0" borderId="26" xfId="0" applyFont="1" applyBorder="1"/>
    <xf numFmtId="0" fontId="39" fillId="0" borderId="4" xfId="0" applyFont="1" applyBorder="1"/>
    <xf numFmtId="0" fontId="39" fillId="8" borderId="27" xfId="0" applyFont="1" applyFill="1" applyBorder="1"/>
    <xf numFmtId="0" fontId="39" fillId="8" borderId="5" xfId="0" applyFont="1" applyFill="1" applyBorder="1"/>
    <xf numFmtId="0" fontId="39" fillId="8" borderId="3" xfId="0" applyFont="1" applyFill="1" applyBorder="1"/>
    <xf numFmtId="0" fontId="34" fillId="0" borderId="22" xfId="0" applyFont="1" applyBorder="1" applyAlignment="1"/>
    <xf numFmtId="0" fontId="34" fillId="0" borderId="3" xfId="9" applyFont="1" applyFill="1" applyBorder="1" applyAlignment="1" applyProtection="1">
      <alignment wrapText="1"/>
    </xf>
    <xf numFmtId="0" fontId="34" fillId="0" borderId="3" xfId="9" applyFont="1" applyFill="1" applyBorder="1" applyAlignment="1">
      <alignment horizontal="left" wrapText="1"/>
    </xf>
    <xf numFmtId="178" fontId="34" fillId="0" borderId="3" xfId="0" applyNumberFormat="1" applyFont="1" applyBorder="1" applyAlignment="1"/>
    <xf numFmtId="0" fontId="34" fillId="0" borderId="3" xfId="0" applyFont="1" applyBorder="1" applyAlignment="1"/>
    <xf numFmtId="164" fontId="34" fillId="0" borderId="3" xfId="7" applyNumberFormat="1" applyFont="1" applyBorder="1" applyAlignment="1" applyProtection="1"/>
    <xf numFmtId="11" fontId="34" fillId="0" borderId="3" xfId="0" applyNumberFormat="1" applyFont="1" applyBorder="1" applyAlignment="1"/>
    <xf numFmtId="11" fontId="34" fillId="0" borderId="16" xfId="7" applyNumberFormat="1" applyFont="1" applyBorder="1" applyAlignment="1" applyProtection="1"/>
    <xf numFmtId="164" fontId="34" fillId="0" borderId="16" xfId="7" applyNumberFormat="1" applyFont="1" applyBorder="1" applyAlignment="1" applyProtection="1"/>
    <xf numFmtId="0" fontId="42" fillId="0" borderId="16" xfId="0" applyFont="1" applyBorder="1" applyAlignment="1"/>
    <xf numFmtId="1" fontId="34" fillId="0" borderId="3" xfId="7" applyNumberFormat="1" applyFont="1" applyBorder="1" applyAlignment="1" applyProtection="1"/>
    <xf numFmtId="165" fontId="34" fillId="0" borderId="3" xfId="7" applyNumberFormat="1" applyFont="1" applyBorder="1" applyAlignment="1" applyProtection="1"/>
    <xf numFmtId="0" fontId="42" fillId="0" borderId="20" xfId="0" applyFont="1" applyBorder="1" applyAlignment="1"/>
    <xf numFmtId="0" fontId="39" fillId="0" borderId="21" xfId="0" applyFont="1" applyBorder="1"/>
    <xf numFmtId="0" fontId="39" fillId="0" borderId="0" xfId="0" applyFont="1" applyBorder="1"/>
    <xf numFmtId="0" fontId="39" fillId="8" borderId="3" xfId="0" applyFont="1" applyFill="1" applyBorder="1" applyAlignment="1">
      <alignment horizontal="right"/>
    </xf>
    <xf numFmtId="165" fontId="39" fillId="8" borderId="5" xfId="0" applyNumberFormat="1" applyFont="1" applyFill="1" applyBorder="1"/>
    <xf numFmtId="0" fontId="42" fillId="0" borderId="21" xfId="0" applyFont="1" applyBorder="1"/>
    <xf numFmtId="0" fontId="39" fillId="8" borderId="22" xfId="0" applyFont="1" applyFill="1" applyBorder="1"/>
    <xf numFmtId="177" fontId="34" fillId="0" borderId="3" xfId="9" applyNumberFormat="1" applyFont="1" applyFill="1" applyBorder="1" applyAlignment="1">
      <alignment horizontal="right" wrapText="1"/>
    </xf>
    <xf numFmtId="0" fontId="42" fillId="0" borderId="0" xfId="0" applyFont="1" applyBorder="1" applyAlignment="1">
      <alignment wrapText="1"/>
    </xf>
    <xf numFmtId="0" fontId="42" fillId="0" borderId="20" xfId="0" applyFont="1" applyBorder="1" applyAlignment="1">
      <alignment wrapText="1"/>
    </xf>
    <xf numFmtId="0" fontId="39" fillId="8" borderId="5" xfId="0" applyFont="1" applyFill="1" applyBorder="1" applyAlignment="1">
      <alignment horizontal="right"/>
    </xf>
    <xf numFmtId="0" fontId="42" fillId="0" borderId="23" xfId="0" applyFont="1" applyBorder="1"/>
    <xf numFmtId="0" fontId="42" fillId="0" borderId="24" xfId="0" applyFont="1" applyBorder="1"/>
    <xf numFmtId="0" fontId="42" fillId="0" borderId="25" xfId="0" applyFont="1" applyBorder="1"/>
    <xf numFmtId="0" fontId="43" fillId="0" borderId="0" xfId="8" applyFont="1"/>
    <xf numFmtId="0" fontId="34" fillId="0" borderId="0" xfId="0" applyFont="1" applyBorder="1" applyAlignment="1">
      <alignment horizontal="left"/>
    </xf>
    <xf numFmtId="0" fontId="42" fillId="0" borderId="3" xfId="0" applyFont="1" applyBorder="1"/>
    <xf numFmtId="0" fontId="34" fillId="13" borderId="3" xfId="9" applyFont="1" applyFill="1" applyBorder="1"/>
    <xf numFmtId="170" fontId="34" fillId="13" borderId="3" xfId="9" applyNumberFormat="1" applyFont="1" applyFill="1" applyBorder="1"/>
    <xf numFmtId="181" fontId="34" fillId="0" borderId="16" xfId="7" applyNumberFormat="1" applyFont="1" applyBorder="1" applyAlignment="1" applyProtection="1"/>
    <xf numFmtId="0" fontId="34" fillId="0" borderId="16" xfId="0" applyFont="1" applyBorder="1"/>
    <xf numFmtId="0" fontId="34" fillId="0" borderId="3" xfId="9" applyFont="1" applyFill="1" applyBorder="1" applyAlignment="1"/>
    <xf numFmtId="0" fontId="34" fillId="0" borderId="3" xfId="9" applyFont="1" applyFill="1" applyBorder="1" applyAlignment="1" applyProtection="1"/>
    <xf numFmtId="170" fontId="34" fillId="0" borderId="3" xfId="3" applyFont="1" applyFill="1" applyBorder="1" applyAlignment="1"/>
    <xf numFmtId="0" fontId="34" fillId="0" borderId="3" xfId="9" applyNumberFormat="1" applyFont="1" applyFill="1" applyBorder="1" applyAlignment="1"/>
    <xf numFmtId="171" fontId="34" fillId="0" borderId="3" xfId="35" applyFont="1" applyFill="1" applyBorder="1" applyAlignment="1"/>
    <xf numFmtId="11" fontId="34" fillId="0" borderId="3" xfId="9" applyNumberFormat="1" applyFont="1" applyFill="1" applyBorder="1" applyAlignment="1">
      <alignment wrapText="1"/>
    </xf>
    <xf numFmtId="11" fontId="34" fillId="0" borderId="3" xfId="37" applyNumberFormat="1" applyFont="1" applyFill="1" applyBorder="1" applyAlignment="1"/>
    <xf numFmtId="180" fontId="34" fillId="0" borderId="3" xfId="35" applyNumberFormat="1" applyFont="1" applyFill="1" applyBorder="1" applyAlignment="1"/>
    <xf numFmtId="2" fontId="34" fillId="0" borderId="3" xfId="35" applyNumberFormat="1" applyFont="1" applyFill="1" applyBorder="1" applyAlignment="1"/>
    <xf numFmtId="0" fontId="34" fillId="0" borderId="3" xfId="9" applyNumberFormat="1" applyFont="1" applyFill="1" applyBorder="1"/>
    <xf numFmtId="170" fontId="34" fillId="0" borderId="3" xfId="36" applyFont="1" applyFill="1" applyBorder="1"/>
    <xf numFmtId="170" fontId="34" fillId="0" borderId="3" xfId="36" applyNumberFormat="1" applyFont="1" applyFill="1" applyBorder="1"/>
    <xf numFmtId="3" fontId="34" fillId="0" borderId="3" xfId="9" applyNumberFormat="1" applyFont="1" applyBorder="1" applyAlignment="1"/>
    <xf numFmtId="0" fontId="34" fillId="0" borderId="20" xfId="9" applyFont="1" applyBorder="1" applyAlignment="1"/>
    <xf numFmtId="0" fontId="44" fillId="0" borderId="0" xfId="39" applyFont="1" applyBorder="1"/>
    <xf numFmtId="0" fontId="44" fillId="0" borderId="0" xfId="39" applyFont="1" applyBorder="1" applyAlignment="1">
      <alignment horizontal="right"/>
    </xf>
    <xf numFmtId="0" fontId="45" fillId="16" borderId="46" xfId="39" applyFont="1" applyFill="1" applyBorder="1"/>
    <xf numFmtId="170" fontId="44" fillId="0" borderId="0" xfId="39" applyNumberFormat="1" applyFont="1" applyBorder="1"/>
    <xf numFmtId="37" fontId="44" fillId="0" borderId="0" xfId="39" applyNumberFormat="1" applyFont="1" applyBorder="1"/>
    <xf numFmtId="0" fontId="44" fillId="0" borderId="44" xfId="39" applyFont="1" applyBorder="1"/>
    <xf numFmtId="0" fontId="45" fillId="16" borderId="47" xfId="39" applyFont="1" applyFill="1" applyBorder="1"/>
    <xf numFmtId="0" fontId="45" fillId="16" borderId="38" xfId="39" applyFont="1" applyFill="1" applyBorder="1"/>
    <xf numFmtId="170" fontId="44" fillId="0" borderId="46" xfId="43" applyFont="1" applyFill="1" applyBorder="1">
      <alignment vertical="center" wrapText="1"/>
    </xf>
    <xf numFmtId="11" fontId="40" fillId="0" borderId="46" xfId="39" applyNumberFormat="1" applyFont="1" applyBorder="1"/>
    <xf numFmtId="0" fontId="45" fillId="0" borderId="44" xfId="39" applyFont="1" applyBorder="1"/>
    <xf numFmtId="0" fontId="45" fillId="0" borderId="0" xfId="39" applyFont="1" applyBorder="1"/>
    <xf numFmtId="0" fontId="45" fillId="16" borderId="5" xfId="39" applyFont="1" applyFill="1" applyBorder="1" applyAlignment="1">
      <alignment horizontal="right"/>
    </xf>
    <xf numFmtId="0" fontId="46" fillId="0" borderId="40" xfId="0" applyFont="1" applyBorder="1"/>
    <xf numFmtId="0" fontId="46" fillId="0" borderId="41" xfId="0" applyFont="1" applyBorder="1"/>
    <xf numFmtId="0" fontId="46" fillId="0" borderId="42" xfId="0" applyFont="1" applyBorder="1"/>
    <xf numFmtId="0" fontId="45" fillId="8" borderId="51" xfId="0" applyFont="1" applyFill="1" applyBorder="1"/>
    <xf numFmtId="0" fontId="44" fillId="0" borderId="0" xfId="0" applyFont="1" applyBorder="1"/>
    <xf numFmtId="0" fontId="45" fillId="8" borderId="16" xfId="0" applyFont="1" applyFill="1" applyBorder="1"/>
    <xf numFmtId="0" fontId="46" fillId="0" borderId="43" xfId="0" applyFont="1" applyBorder="1"/>
    <xf numFmtId="0" fontId="47" fillId="0" borderId="0" xfId="8" applyFont="1" applyBorder="1"/>
    <xf numFmtId="0" fontId="44" fillId="0" borderId="16" xfId="0" applyFont="1" applyBorder="1"/>
    <xf numFmtId="49" fontId="44" fillId="0" borderId="0" xfId="0" applyNumberFormat="1" applyFont="1" applyBorder="1" applyAlignment="1">
      <alignment horizontal="left"/>
    </xf>
    <xf numFmtId="0" fontId="44" fillId="0" borderId="47" xfId="42" applyFont="1" applyFill="1" applyBorder="1"/>
    <xf numFmtId="0" fontId="44" fillId="0" borderId="46" xfId="42" applyFont="1" applyFill="1" applyBorder="1" applyAlignment="1" applyProtection="1">
      <alignment wrapText="1"/>
    </xf>
    <xf numFmtId="0" fontId="44" fillId="0" borderId="46" xfId="42" applyFont="1" applyFill="1" applyBorder="1" applyAlignment="1">
      <alignment horizontal="left"/>
    </xf>
    <xf numFmtId="170" fontId="44" fillId="0" borderId="46" xfId="3" applyFont="1" applyFill="1" applyBorder="1"/>
    <xf numFmtId="177" fontId="44" fillId="0" borderId="46" xfId="42" applyNumberFormat="1" applyFont="1" applyFill="1" applyBorder="1"/>
    <xf numFmtId="0" fontId="44" fillId="0" borderId="46" xfId="42" applyFont="1" applyFill="1" applyBorder="1"/>
    <xf numFmtId="43" fontId="44" fillId="0" borderId="46" xfId="41" applyFont="1" applyFill="1" applyBorder="1"/>
    <xf numFmtId="11" fontId="44" fillId="0" borderId="46" xfId="42" applyNumberFormat="1" applyFont="1" applyFill="1" applyBorder="1" applyAlignment="1">
      <alignment wrapText="1"/>
    </xf>
    <xf numFmtId="11" fontId="44" fillId="0" borderId="46" xfId="41" applyNumberFormat="1" applyFont="1" applyFill="1" applyBorder="1"/>
    <xf numFmtId="0" fontId="44" fillId="0" borderId="46" xfId="41" applyNumberFormat="1" applyFont="1" applyFill="1" applyBorder="1"/>
    <xf numFmtId="170" fontId="44" fillId="0" borderId="46" xfId="36" applyNumberFormat="1" applyFont="1" applyFill="1" applyBorder="1"/>
    <xf numFmtId="0" fontId="44" fillId="0" borderId="46" xfId="39" applyFont="1" applyFill="1" applyBorder="1" applyAlignment="1" applyProtection="1">
      <alignment vertical="center" wrapText="1"/>
    </xf>
    <xf numFmtId="0" fontId="40" fillId="0" borderId="47" xfId="42" applyFont="1" applyBorder="1"/>
    <xf numFmtId="0" fontId="40" fillId="0" borderId="46" xfId="30" applyFont="1" applyFill="1" applyBorder="1" applyAlignment="1">
      <alignment wrapText="1"/>
    </xf>
    <xf numFmtId="0" fontId="40" fillId="0" borderId="46" xfId="42" applyFont="1" applyBorder="1" applyAlignment="1">
      <alignment wrapText="1"/>
    </xf>
    <xf numFmtId="170" fontId="40" fillId="0" borderId="46" xfId="3" applyFont="1" applyFill="1" applyBorder="1"/>
    <xf numFmtId="0" fontId="40" fillId="0" borderId="46" xfId="42" applyFont="1" applyBorder="1"/>
    <xf numFmtId="170" fontId="44" fillId="0" borderId="46" xfId="3" applyNumberFormat="1" applyFont="1" applyFill="1" applyBorder="1" applyAlignment="1"/>
    <xf numFmtId="0" fontId="40" fillId="0" borderId="47" xfId="42" applyFont="1" applyFill="1" applyBorder="1"/>
    <xf numFmtId="0" fontId="40" fillId="0" borderId="45" xfId="30" applyFont="1" applyFill="1" applyBorder="1" applyAlignment="1">
      <alignment wrapText="1"/>
    </xf>
    <xf numFmtId="175" fontId="40" fillId="0" borderId="46" xfId="42" applyNumberFormat="1" applyFont="1" applyFill="1" applyBorder="1"/>
    <xf numFmtId="0" fontId="44" fillId="0" borderId="46" xfId="30" applyFont="1" applyFill="1" applyBorder="1" applyAlignment="1">
      <alignment wrapText="1"/>
    </xf>
    <xf numFmtId="0" fontId="40" fillId="13" borderId="46" xfId="42" applyFont="1" applyFill="1" applyBorder="1"/>
    <xf numFmtId="170" fontId="40" fillId="13" borderId="46" xfId="42" applyNumberFormat="1" applyFont="1" applyFill="1" applyBorder="1"/>
    <xf numFmtId="170" fontId="40" fillId="0" borderId="46" xfId="3" applyNumberFormat="1" applyFont="1" applyFill="1" applyBorder="1" applyAlignment="1"/>
    <xf numFmtId="11" fontId="40" fillId="0" borderId="46" xfId="42" applyNumberFormat="1" applyFont="1" applyBorder="1"/>
    <xf numFmtId="0" fontId="40" fillId="0" borderId="0" xfId="0" applyFont="1" applyBorder="1"/>
    <xf numFmtId="0" fontId="46" fillId="0" borderId="0" xfId="0" applyFont="1" applyBorder="1"/>
    <xf numFmtId="0" fontId="46" fillId="0" borderId="48" xfId="0" applyFont="1" applyBorder="1"/>
    <xf numFmtId="0" fontId="46" fillId="0" borderId="49" xfId="0" applyFont="1" applyBorder="1"/>
    <xf numFmtId="0" fontId="46" fillId="0" borderId="50" xfId="0" applyFont="1" applyBorder="1"/>
    <xf numFmtId="0" fontId="26" fillId="0" borderId="33" xfId="8" applyNumberFormat="1" applyBorder="1" applyAlignment="1" applyProtection="1"/>
    <xf numFmtId="0" fontId="26" fillId="0" borderId="46" xfId="8" applyNumberFormat="1" applyBorder="1" applyAlignment="1" applyProtection="1"/>
    <xf numFmtId="0" fontId="12" fillId="0" borderId="46" xfId="0" applyFont="1" applyFill="1" applyBorder="1"/>
    <xf numFmtId="165" fontId="12" fillId="0" borderId="35" xfId="7" applyNumberFormat="1" applyFont="1" applyBorder="1" applyAlignment="1" applyProtection="1"/>
    <xf numFmtId="165" fontId="12" fillId="0" borderId="52" xfId="7" applyNumberFormat="1" applyFont="1" applyBorder="1" applyAlignment="1" applyProtection="1"/>
    <xf numFmtId="0" fontId="19" fillId="10" borderId="46" xfId="1" applyFont="1" applyFill="1" applyBorder="1" applyProtection="1">
      <protection locked="0"/>
    </xf>
    <xf numFmtId="18" fontId="19" fillId="10" borderId="46" xfId="1" applyNumberFormat="1" applyFont="1" applyFill="1" applyBorder="1" applyAlignment="1" applyProtection="1">
      <protection locked="0"/>
    </xf>
    <xf numFmtId="0" fontId="26" fillId="10" borderId="46" xfId="8" applyFill="1" applyBorder="1" applyAlignment="1">
      <alignment horizontal="left"/>
    </xf>
    <xf numFmtId="0" fontId="19" fillId="10" borderId="46" xfId="1" applyFont="1" applyFill="1" applyBorder="1" applyAlignment="1">
      <alignment horizontal="center"/>
    </xf>
    <xf numFmtId="0" fontId="39" fillId="7" borderId="16" xfId="0" applyFont="1" applyFill="1" applyBorder="1"/>
    <xf numFmtId="172" fontId="34" fillId="0" borderId="16" xfId="7" applyNumberFormat="1" applyFont="1" applyBorder="1" applyAlignment="1" applyProtection="1"/>
    <xf numFmtId="0" fontId="39" fillId="7" borderId="0" xfId="0" applyFont="1" applyFill="1" applyBorder="1"/>
    <xf numFmtId="0" fontId="43" fillId="0" borderId="16" xfId="8" applyNumberFormat="1" applyFont="1" applyBorder="1" applyAlignment="1" applyProtection="1"/>
    <xf numFmtId="0" fontId="34" fillId="0" borderId="16" xfId="0" applyNumberFormat="1" applyFont="1" applyBorder="1"/>
    <xf numFmtId="0" fontId="34" fillId="0" borderId="20" xfId="7" applyNumberFormat="1" applyFont="1" applyBorder="1" applyAlignment="1"/>
    <xf numFmtId="0" fontId="34" fillId="0" borderId="46" xfId="0" applyFont="1" applyFill="1" applyBorder="1"/>
    <xf numFmtId="0" fontId="34" fillId="0" borderId="33" xfId="0" applyFont="1" applyBorder="1"/>
    <xf numFmtId="0" fontId="39" fillId="7" borderId="16" xfId="0" applyFont="1" applyFill="1" applyBorder="1" applyAlignment="1">
      <alignment horizontal="right"/>
    </xf>
    <xf numFmtId="165" fontId="39" fillId="7" borderId="16" xfId="0" applyNumberFormat="1" applyFont="1" applyFill="1" applyBorder="1"/>
    <xf numFmtId="165" fontId="34" fillId="0" borderId="33" xfId="7" applyNumberFormat="1" applyFont="1" applyBorder="1" applyAlignment="1" applyProtection="1"/>
    <xf numFmtId="0" fontId="42" fillId="0" borderId="16" xfId="7" applyNumberFormat="1" applyFont="1" applyBorder="1" applyAlignment="1">
      <alignment wrapText="1"/>
    </xf>
    <xf numFmtId="0" fontId="42" fillId="0" borderId="16" xfId="0" applyFont="1" applyBorder="1"/>
    <xf numFmtId="0" fontId="39" fillId="7" borderId="33" xfId="0" applyFont="1" applyFill="1" applyBorder="1"/>
    <xf numFmtId="0" fontId="39" fillId="7" borderId="34" xfId="0" applyFont="1" applyFill="1" applyBorder="1"/>
    <xf numFmtId="165" fontId="39" fillId="7" borderId="34" xfId="0" applyNumberFormat="1" applyFont="1" applyFill="1" applyBorder="1"/>
    <xf numFmtId="0" fontId="34" fillId="0" borderId="46" xfId="0" applyFont="1" applyBorder="1"/>
    <xf numFmtId="170" fontId="34" fillId="0" borderId="46" xfId="11" applyFont="1" applyFill="1" applyBorder="1">
      <alignment vertical="center" wrapText="1"/>
    </xf>
    <xf numFmtId="164" fontId="34" fillId="0" borderId="46" xfId="7" applyNumberFormat="1" applyFont="1" applyBorder="1" applyAlignment="1" applyProtection="1"/>
    <xf numFmtId="11" fontId="34" fillId="0" borderId="46" xfId="0" applyNumberFormat="1" applyFont="1" applyBorder="1"/>
    <xf numFmtId="167" fontId="34" fillId="0" borderId="46" xfId="7" applyNumberFormat="1" applyFont="1" applyBorder="1" applyAlignment="1" applyProtection="1"/>
    <xf numFmtId="169" fontId="34" fillId="0" borderId="46" xfId="7" applyNumberFormat="1" applyFont="1" applyBorder="1" applyAlignment="1" applyProtection="1"/>
    <xf numFmtId="165" fontId="34" fillId="0" borderId="46" xfId="7" applyNumberFormat="1" applyFont="1" applyBorder="1" applyAlignment="1" applyProtection="1"/>
    <xf numFmtId="0" fontId="34" fillId="0" borderId="46" xfId="31" applyFont="1" applyFill="1" applyBorder="1"/>
    <xf numFmtId="0" fontId="34" fillId="0" borderId="46" xfId="31" applyFont="1" applyFill="1" applyBorder="1" applyAlignment="1">
      <alignment wrapText="1"/>
    </xf>
    <xf numFmtId="0" fontId="34" fillId="0" borderId="46" xfId="0" applyFont="1" applyBorder="1" applyAlignment="1"/>
    <xf numFmtId="11" fontId="34" fillId="0" borderId="46" xfId="0" applyNumberFormat="1" applyFont="1" applyBorder="1" applyAlignment="1"/>
    <xf numFmtId="173" fontId="34" fillId="0" borderId="46" xfId="7" applyNumberFormat="1" applyFont="1" applyBorder="1" applyAlignment="1" applyProtection="1"/>
    <xf numFmtId="168" fontId="34" fillId="0" borderId="46" xfId="7" applyNumberFormat="1" applyFont="1" applyBorder="1" applyAlignment="1" applyProtection="1"/>
    <xf numFmtId="0" fontId="42" fillId="0" borderId="46" xfId="0" applyFont="1" applyBorder="1" applyAlignment="1"/>
    <xf numFmtId="2" fontId="34" fillId="0" borderId="46" xfId="7" applyNumberFormat="1" applyFont="1" applyBorder="1" applyAlignment="1" applyProtection="1"/>
    <xf numFmtId="0" fontId="43" fillId="0" borderId="33" xfId="8" applyNumberFormat="1" applyFont="1" applyBorder="1" applyAlignment="1" applyProtection="1"/>
    <xf numFmtId="0" fontId="34" fillId="0" borderId="33" xfId="0" applyNumberFormat="1" applyFont="1" applyBorder="1"/>
    <xf numFmtId="0" fontId="39" fillId="7" borderId="34" xfId="0" applyFont="1" applyFill="1" applyBorder="1" applyAlignment="1">
      <alignment horizontal="right"/>
    </xf>
    <xf numFmtId="0" fontId="29" fillId="0" borderId="46" xfId="42" applyFont="1" applyFill="1" applyBorder="1" applyAlignment="1"/>
    <xf numFmtId="0" fontId="29" fillId="0" borderId="46" xfId="42" applyFont="1" applyFill="1" applyBorder="1" applyAlignment="1" applyProtection="1"/>
    <xf numFmtId="170" fontId="29" fillId="0" borderId="46" xfId="3" applyFont="1" applyFill="1" applyBorder="1" applyAlignment="1"/>
    <xf numFmtId="0" fontId="29" fillId="0" borderId="46" xfId="42" applyNumberFormat="1" applyFont="1" applyFill="1" applyBorder="1" applyAlignment="1"/>
    <xf numFmtId="171" fontId="29" fillId="0" borderId="46" xfId="35" applyFont="1" applyFill="1" applyBorder="1" applyAlignment="1"/>
    <xf numFmtId="0" fontId="13" fillId="0" borderId="46" xfId="42" applyBorder="1" applyAlignment="1">
      <alignment wrapText="1"/>
    </xf>
    <xf numFmtId="0" fontId="29" fillId="0" borderId="46" xfId="42" applyFont="1" applyBorder="1" applyAlignment="1">
      <alignment wrapText="1"/>
    </xf>
    <xf numFmtId="170" fontId="29" fillId="0" borderId="46" xfId="3" applyFont="1" applyFill="1" applyBorder="1" applyAlignment="1">
      <alignment wrapText="1"/>
    </xf>
    <xf numFmtId="170" fontId="29" fillId="0" borderId="46" xfId="3" applyNumberFormat="1" applyFont="1" applyFill="1" applyBorder="1" applyAlignment="1">
      <alignment wrapText="1"/>
    </xf>
    <xf numFmtId="0" fontId="29" fillId="0" borderId="46" xfId="42" applyFont="1" applyFill="1" applyBorder="1" applyAlignment="1">
      <alignment wrapText="1"/>
    </xf>
    <xf numFmtId="0" fontId="29" fillId="0" borderId="46" xfId="42" applyFont="1" applyBorder="1"/>
    <xf numFmtId="0" fontId="13" fillId="0" borderId="0" xfId="42" applyBorder="1" applyAlignment="1">
      <alignment wrapText="1"/>
    </xf>
    <xf numFmtId="0" fontId="13" fillId="0" borderId="20" xfId="42" applyBorder="1" applyAlignment="1">
      <alignment wrapText="1"/>
    </xf>
    <xf numFmtId="0" fontId="13" fillId="0" borderId="0" xfId="42"/>
    <xf numFmtId="0" fontId="13" fillId="0" borderId="0" xfId="42" applyBorder="1"/>
    <xf numFmtId="0" fontId="13" fillId="0" borderId="20" xfId="42" applyBorder="1"/>
    <xf numFmtId="0" fontId="13" fillId="0" borderId="0" xfId="42" applyFont="1" applyBorder="1"/>
    <xf numFmtId="0" fontId="13" fillId="0" borderId="20" xfId="42" applyFont="1" applyBorder="1"/>
    <xf numFmtId="0" fontId="11" fillId="0" borderId="0" xfId="42" applyFont="1" applyBorder="1"/>
    <xf numFmtId="0" fontId="13" fillId="13" borderId="0" xfId="42" applyFill="1" applyBorder="1"/>
    <xf numFmtId="2" fontId="29" fillId="0" borderId="3" xfId="9" applyNumberFormat="1" applyFont="1" applyFill="1" applyBorder="1" applyAlignment="1">
      <alignment horizontal="right" wrapText="1"/>
    </xf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5" fillId="8" borderId="16" xfId="0" applyFont="1" applyFill="1" applyBorder="1" applyAlignment="1">
      <alignment horizontal="left"/>
    </xf>
    <xf numFmtId="0" fontId="44" fillId="0" borderId="16" xfId="0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6" fillId="0" borderId="20" xfId="0" applyFont="1" applyBorder="1"/>
    <xf numFmtId="0" fontId="47" fillId="0" borderId="0" xfId="8" applyFont="1"/>
    <xf numFmtId="37" fontId="44" fillId="0" borderId="16" xfId="7" applyNumberFormat="1" applyFont="1" applyBorder="1" applyAlignment="1" applyProtection="1"/>
    <xf numFmtId="0" fontId="45" fillId="8" borderId="2" xfId="0" applyFont="1" applyFill="1" applyBorder="1"/>
    <xf numFmtId="0" fontId="44" fillId="0" borderId="0" xfId="0" applyFont="1" applyBorder="1" applyAlignment="1">
      <alignment horizontal="left"/>
    </xf>
    <xf numFmtId="0" fontId="45" fillId="0" borderId="26" xfId="0" applyFont="1" applyBorder="1"/>
    <xf numFmtId="0" fontId="45" fillId="0" borderId="4" xfId="0" applyFont="1" applyBorder="1"/>
    <xf numFmtId="0" fontId="45" fillId="8" borderId="27" xfId="0" applyFont="1" applyFill="1" applyBorder="1"/>
    <xf numFmtId="0" fontId="45" fillId="8" borderId="5" xfId="0" applyFont="1" applyFill="1" applyBorder="1"/>
    <xf numFmtId="0" fontId="45" fillId="8" borderId="3" xfId="0" applyFont="1" applyFill="1" applyBorder="1"/>
    <xf numFmtId="0" fontId="44" fillId="0" borderId="22" xfId="0" applyFont="1" applyBorder="1" applyAlignment="1"/>
    <xf numFmtId="0" fontId="46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0" fontId="46" fillId="0" borderId="16" xfId="0" applyFont="1" applyBorder="1" applyAlignment="1"/>
    <xf numFmtId="1" fontId="44" fillId="0" borderId="3" xfId="7" applyNumberFormat="1" applyFont="1" applyBorder="1" applyAlignment="1" applyProtection="1"/>
    <xf numFmtId="0" fontId="46" fillId="0" borderId="20" xfId="0" applyFont="1" applyBorder="1" applyAlignment="1"/>
    <xf numFmtId="0" fontId="45" fillId="0" borderId="21" xfId="0" applyFont="1" applyBorder="1"/>
    <xf numFmtId="0" fontId="45" fillId="0" borderId="0" xfId="0" applyFont="1" applyBorder="1"/>
    <xf numFmtId="0" fontId="45" fillId="8" borderId="3" xfId="0" applyFont="1" applyFill="1" applyBorder="1" applyAlignment="1">
      <alignment horizontal="right"/>
    </xf>
    <xf numFmtId="165" fontId="45" fillId="8" borderId="5" xfId="0" applyNumberFormat="1" applyFont="1" applyFill="1" applyBorder="1"/>
    <xf numFmtId="0" fontId="46" fillId="0" borderId="21" xfId="0" applyFont="1" applyBorder="1"/>
    <xf numFmtId="0" fontId="45" fillId="8" borderId="22" xfId="0" applyFont="1" applyFill="1" applyBorder="1"/>
    <xf numFmtId="0" fontId="45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29" fillId="0" borderId="46" xfId="42" applyFont="1" applyFill="1" applyBorder="1" applyAlignment="1">
      <alignment horizontal="left" wrapText="1"/>
    </xf>
    <xf numFmtId="170" fontId="29" fillId="0" borderId="46" xfId="36" applyFont="1" applyFill="1" applyBorder="1"/>
    <xf numFmtId="0" fontId="40" fillId="0" borderId="46" xfId="39" applyFont="1" applyBorder="1" applyAlignment="1">
      <alignment wrapText="1"/>
    </xf>
    <xf numFmtId="0" fontId="26" fillId="0" borderId="46" xfId="8" applyBorder="1"/>
    <xf numFmtId="0" fontId="12" fillId="0" borderId="33" xfId="0" applyFont="1" applyBorder="1" applyAlignment="1"/>
    <xf numFmtId="11" fontId="12" fillId="0" borderId="33" xfId="0" applyNumberFormat="1" applyFont="1" applyBorder="1" applyAlignment="1"/>
    <xf numFmtId="173" fontId="12" fillId="0" borderId="33" xfId="7" applyNumberFormat="1" applyFont="1" applyBorder="1" applyAlignment="1" applyProtection="1"/>
    <xf numFmtId="168" fontId="12" fillId="0" borderId="33" xfId="7" applyNumberFormat="1" applyFont="1" applyBorder="1" applyAlignment="1" applyProtection="1"/>
    <xf numFmtId="165" fontId="11" fillId="7" borderId="5" xfId="0" applyNumberFormat="1" applyFont="1" applyFill="1" applyBorder="1"/>
    <xf numFmtId="0" fontId="12" fillId="0" borderId="46" xfId="0" applyFont="1" applyBorder="1"/>
    <xf numFmtId="0" fontId="29" fillId="0" borderId="46" xfId="31" applyFont="1" applyFill="1" applyBorder="1"/>
    <xf numFmtId="0" fontId="29" fillId="0" borderId="46" xfId="31" applyFont="1" applyFill="1" applyBorder="1" applyAlignment="1">
      <alignment wrapText="1"/>
    </xf>
    <xf numFmtId="165" fontId="12" fillId="0" borderId="46" xfId="7" applyNumberFormat="1" applyFont="1" applyBorder="1" applyAlignment="1" applyProtection="1"/>
    <xf numFmtId="164" fontId="12" fillId="0" borderId="46" xfId="7" applyNumberFormat="1" applyFont="1" applyBorder="1" applyAlignment="1" applyProtection="1"/>
    <xf numFmtId="2" fontId="12" fillId="0" borderId="46" xfId="7" applyNumberFormat="1" applyFont="1" applyBorder="1" applyAlignment="1" applyProtection="1"/>
    <xf numFmtId="169" fontId="12" fillId="0" borderId="46" xfId="7" applyNumberFormat="1" applyFont="1" applyBorder="1" applyAlignment="1" applyProtection="1"/>
    <xf numFmtId="0" fontId="0" fillId="0" borderId="46" xfId="0" applyBorder="1" applyAlignment="1"/>
    <xf numFmtId="185" fontId="12" fillId="0" borderId="16" xfId="7" applyNumberFormat="1" applyFont="1" applyBorder="1" applyAlignment="1" applyProtection="1"/>
    <xf numFmtId="0" fontId="40" fillId="0" borderId="17" xfId="33" applyFont="1" applyBorder="1"/>
    <xf numFmtId="0" fontId="40" fillId="0" borderId="18" xfId="33" applyFont="1" applyBorder="1"/>
    <xf numFmtId="0" fontId="40" fillId="0" borderId="19" xfId="33" applyFont="1" applyBorder="1"/>
    <xf numFmtId="0" fontId="41" fillId="8" borderId="16" xfId="33" applyFont="1" applyFill="1" applyBorder="1"/>
    <xf numFmtId="0" fontId="40" fillId="0" borderId="0" xfId="33" applyFont="1" applyBorder="1"/>
    <xf numFmtId="0" fontId="48" fillId="0" borderId="0" xfId="8" applyFont="1" applyBorder="1"/>
    <xf numFmtId="0" fontId="41" fillId="8" borderId="16" xfId="33" applyFont="1" applyFill="1" applyBorder="1" applyAlignment="1">
      <alignment horizontal="left"/>
    </xf>
    <xf numFmtId="0" fontId="40" fillId="0" borderId="16" xfId="33" applyFont="1" applyBorder="1" applyAlignment="1">
      <alignment horizontal="right"/>
    </xf>
    <xf numFmtId="165" fontId="40" fillId="0" borderId="16" xfId="7" applyNumberFormat="1" applyFont="1" applyBorder="1" applyAlignment="1" applyProtection="1"/>
    <xf numFmtId="0" fontId="40" fillId="0" borderId="20" xfId="33" applyFont="1" applyBorder="1"/>
    <xf numFmtId="0" fontId="48" fillId="0" borderId="0" xfId="8" applyFont="1"/>
    <xf numFmtId="37" fontId="40" fillId="0" borderId="16" xfId="7" applyNumberFormat="1" applyFont="1" applyBorder="1" applyAlignment="1" applyProtection="1"/>
    <xf numFmtId="0" fontId="41" fillId="8" borderId="2" xfId="33" applyFont="1" applyFill="1" applyBorder="1"/>
    <xf numFmtId="0" fontId="40" fillId="0" borderId="0" xfId="33" applyFont="1" applyBorder="1" applyAlignment="1">
      <alignment horizontal="left"/>
    </xf>
    <xf numFmtId="49" fontId="40" fillId="0" borderId="0" xfId="33" applyNumberFormat="1" applyFont="1" applyBorder="1" applyAlignment="1">
      <alignment horizontal="left"/>
    </xf>
    <xf numFmtId="0" fontId="41" fillId="0" borderId="26" xfId="33" applyFont="1" applyBorder="1"/>
    <xf numFmtId="0" fontId="41" fillId="0" borderId="4" xfId="33" applyFont="1" applyBorder="1"/>
    <xf numFmtId="0" fontId="41" fillId="8" borderId="27" xfId="33" applyFont="1" applyFill="1" applyBorder="1"/>
    <xf numFmtId="0" fontId="41" fillId="8" borderId="5" xfId="33" applyFont="1" applyFill="1" applyBorder="1"/>
    <xf numFmtId="0" fontId="41" fillId="8" borderId="3" xfId="33" applyFont="1" applyFill="1" applyBorder="1"/>
    <xf numFmtId="0" fontId="40" fillId="0" borderId="22" xfId="0" applyFont="1" applyBorder="1" applyAlignment="1"/>
    <xf numFmtId="0" fontId="40" fillId="0" borderId="3" xfId="0" applyFont="1" applyBorder="1"/>
    <xf numFmtId="0" fontId="40" fillId="0" borderId="3" xfId="0" applyFont="1" applyBorder="1" applyAlignment="1"/>
    <xf numFmtId="165" fontId="40" fillId="0" borderId="3" xfId="7" applyNumberFormat="1" applyFont="1" applyBorder="1" applyAlignment="1" applyProtection="1"/>
    <xf numFmtId="176" fontId="40" fillId="0" borderId="3" xfId="0" applyNumberFormat="1" applyFont="1" applyBorder="1" applyAlignment="1"/>
    <xf numFmtId="164" fontId="40" fillId="0" borderId="3" xfId="7" applyNumberFormat="1" applyFont="1" applyBorder="1" applyAlignment="1" applyProtection="1"/>
    <xf numFmtId="11" fontId="40" fillId="0" borderId="3" xfId="0" applyNumberFormat="1" applyFont="1" applyBorder="1" applyAlignment="1"/>
    <xf numFmtId="2" fontId="40" fillId="0" borderId="16" xfId="7" applyNumberFormat="1" applyFont="1" applyBorder="1" applyAlignment="1" applyProtection="1"/>
    <xf numFmtId="179" fontId="40" fillId="0" borderId="16" xfId="7" applyNumberFormat="1" applyFont="1" applyBorder="1" applyAlignment="1" applyProtection="1"/>
    <xf numFmtId="0" fontId="40" fillId="0" borderId="16" xfId="0" applyFont="1" applyBorder="1" applyAlignment="1"/>
    <xf numFmtId="1" fontId="40" fillId="0" borderId="3" xfId="7" applyNumberFormat="1" applyFont="1" applyBorder="1" applyAlignment="1" applyProtection="1"/>
    <xf numFmtId="0" fontId="40" fillId="0" borderId="20" xfId="33" applyFont="1" applyBorder="1" applyAlignment="1"/>
    <xf numFmtId="0" fontId="41" fillId="0" borderId="21" xfId="33" applyFont="1" applyBorder="1"/>
    <xf numFmtId="0" fontId="41" fillId="0" borderId="0" xfId="33" applyFont="1" applyBorder="1"/>
    <xf numFmtId="0" fontId="41" fillId="8" borderId="3" xfId="33" applyFont="1" applyFill="1" applyBorder="1" applyAlignment="1">
      <alignment horizontal="right"/>
    </xf>
    <xf numFmtId="165" fontId="41" fillId="8" borderId="5" xfId="33" applyNumberFormat="1" applyFont="1" applyFill="1" applyBorder="1"/>
    <xf numFmtId="0" fontId="40" fillId="0" borderId="21" xfId="33" applyFont="1" applyBorder="1"/>
    <xf numFmtId="0" fontId="41" fillId="8" borderId="22" xfId="33" applyFont="1" applyFill="1" applyBorder="1"/>
    <xf numFmtId="0" fontId="40" fillId="0" borderId="22" xfId="33" applyFont="1" applyBorder="1" applyAlignment="1">
      <alignment wrapText="1"/>
    </xf>
    <xf numFmtId="0" fontId="40" fillId="0" borderId="3" xfId="7" applyNumberFormat="1" applyFont="1" applyBorder="1" applyAlignment="1">
      <alignment wrapText="1"/>
    </xf>
    <xf numFmtId="0" fontId="40" fillId="0" borderId="3" xfId="33" applyFont="1" applyBorder="1" applyAlignment="1">
      <alignment wrapText="1"/>
    </xf>
    <xf numFmtId="165" fontId="40" fillId="0" borderId="3" xfId="7" applyNumberFormat="1" applyFont="1" applyBorder="1" applyAlignment="1" applyProtection="1">
      <alignment wrapText="1"/>
    </xf>
    <xf numFmtId="0" fontId="40" fillId="0" borderId="0" xfId="33" applyFont="1" applyBorder="1" applyAlignment="1">
      <alignment wrapText="1"/>
    </xf>
    <xf numFmtId="0" fontId="40" fillId="0" borderId="20" xfId="33" applyFont="1" applyBorder="1" applyAlignment="1">
      <alignment wrapText="1"/>
    </xf>
    <xf numFmtId="0" fontId="40" fillId="0" borderId="22" xfId="33" applyFont="1" applyBorder="1"/>
    <xf numFmtId="0" fontId="40" fillId="0" borderId="6" xfId="30" applyFont="1" applyFill="1" applyBorder="1" applyAlignment="1">
      <alignment wrapText="1"/>
    </xf>
    <xf numFmtId="0" fontId="40" fillId="0" borderId="3" xfId="33" applyFont="1" applyBorder="1"/>
    <xf numFmtId="0" fontId="41" fillId="8" borderId="5" xfId="33" applyFont="1" applyFill="1" applyBorder="1" applyAlignment="1">
      <alignment horizontal="right"/>
    </xf>
    <xf numFmtId="0" fontId="40" fillId="0" borderId="23" xfId="33" applyFont="1" applyBorder="1"/>
    <xf numFmtId="0" fontId="40" fillId="0" borderId="24" xfId="33" applyFont="1" applyBorder="1"/>
    <xf numFmtId="0" fontId="40" fillId="0" borderId="25" xfId="33" applyFont="1" applyBorder="1"/>
    <xf numFmtId="0" fontId="44" fillId="0" borderId="46" xfId="42" applyFont="1" applyFill="1" applyBorder="1" applyAlignment="1">
      <alignment horizontal="left" wrapText="1"/>
    </xf>
    <xf numFmtId="0" fontId="11" fillId="8" borderId="46" xfId="0" applyFont="1" applyFill="1" applyBorder="1"/>
    <xf numFmtId="0" fontId="44" fillId="0" borderId="47" xfId="42" applyFont="1" applyFill="1" applyBorder="1" applyAlignment="1">
      <alignment wrapText="1"/>
    </xf>
    <xf numFmtId="0" fontId="40" fillId="0" borderId="46" xfId="30" applyFont="1" applyFill="1" applyBorder="1" applyAlignment="1"/>
    <xf numFmtId="0" fontId="44" fillId="0" borderId="46" xfId="42" applyFont="1" applyFill="1" applyBorder="1" applyAlignment="1" applyProtection="1"/>
    <xf numFmtId="0" fontId="40" fillId="13" borderId="46" xfId="42" applyFont="1" applyFill="1" applyBorder="1" applyAlignment="1">
      <alignment wrapText="1"/>
    </xf>
    <xf numFmtId="0" fontId="29" fillId="0" borderId="0" xfId="0" applyFont="1" applyFill="1" applyBorder="1"/>
    <xf numFmtId="0" fontId="11" fillId="7" borderId="33" xfId="0" applyFont="1" applyFill="1" applyBorder="1"/>
    <xf numFmtId="37" fontId="12" fillId="0" borderId="46" xfId="0" applyNumberFormat="1" applyFont="1" applyBorder="1"/>
    <xf numFmtId="11" fontId="12" fillId="0" borderId="46" xfId="0" applyNumberFormat="1" applyFont="1" applyBorder="1"/>
    <xf numFmtId="167" fontId="12" fillId="0" borderId="46" xfId="7" applyNumberFormat="1" applyFont="1" applyBorder="1" applyAlignment="1" applyProtection="1"/>
    <xf numFmtId="0" fontId="12" fillId="0" borderId="46" xfId="0" applyFont="1" applyBorder="1" applyAlignment="1">
      <alignment wrapText="1"/>
    </xf>
    <xf numFmtId="0" fontId="12" fillId="0" borderId="46" xfId="0" applyFont="1" applyBorder="1" applyAlignment="1"/>
    <xf numFmtId="11" fontId="12" fillId="0" borderId="46" xfId="0" applyNumberFormat="1" applyFont="1" applyBorder="1" applyAlignment="1"/>
    <xf numFmtId="173" fontId="12" fillId="0" borderId="46" xfId="7" applyNumberFormat="1" applyFont="1" applyBorder="1" applyAlignment="1" applyProtection="1"/>
    <xf numFmtId="168" fontId="12" fillId="0" borderId="46" xfId="7" applyNumberFormat="1" applyFont="1" applyBorder="1" applyAlignment="1" applyProtection="1"/>
    <xf numFmtId="0" fontId="0" fillId="0" borderId="46" xfId="0" applyBorder="1"/>
    <xf numFmtId="0" fontId="29" fillId="0" borderId="46" xfId="0" applyFont="1" applyFill="1" applyBorder="1" applyAlignment="1" applyProtection="1">
      <alignment vertical="center" wrapText="1"/>
    </xf>
    <xf numFmtId="0" fontId="11" fillId="7" borderId="34" xfId="0" applyFont="1" applyFill="1" applyBorder="1"/>
    <xf numFmtId="0" fontId="29" fillId="0" borderId="16" xfId="0" applyFont="1" applyFill="1" applyBorder="1"/>
    <xf numFmtId="0" fontId="29" fillId="0" borderId="45" xfId="30" applyFont="1" applyFill="1" applyBorder="1" applyAlignment="1">
      <alignment wrapText="1"/>
    </xf>
    <xf numFmtId="165" fontId="29" fillId="0" borderId="16" xfId="7" applyNumberFormat="1" applyFont="1" applyBorder="1" applyAlignment="1" applyProtection="1"/>
    <xf numFmtId="0" fontId="29" fillId="0" borderId="3" xfId="46" applyFont="1" applyFill="1" applyBorder="1"/>
    <xf numFmtId="0" fontId="29" fillId="0" borderId="3" xfId="46" applyNumberFormat="1" applyFont="1" applyFill="1" applyBorder="1"/>
    <xf numFmtId="0" fontId="29" fillId="0" borderId="16" xfId="0" applyFont="1" applyBorder="1"/>
    <xf numFmtId="0" fontId="29" fillId="0" borderId="33" xfId="0" applyFont="1" applyBorder="1"/>
    <xf numFmtId="0" fontId="29" fillId="0" borderId="53" xfId="30" applyFont="1" applyFill="1" applyBorder="1" applyAlignment="1">
      <alignment wrapText="1"/>
    </xf>
    <xf numFmtId="165" fontId="29" fillId="0" borderId="33" xfId="7" applyNumberFormat="1" applyFont="1" applyBorder="1" applyAlignment="1" applyProtection="1"/>
    <xf numFmtId="0" fontId="29" fillId="0" borderId="33" xfId="7" applyNumberFormat="1" applyFont="1" applyBorder="1" applyAlignment="1">
      <alignment wrapText="1"/>
    </xf>
    <xf numFmtId="0" fontId="29" fillId="0" borderId="3" xfId="0" applyFont="1" applyBorder="1"/>
    <xf numFmtId="0" fontId="29" fillId="0" borderId="3" xfId="0" applyNumberFormat="1" applyFont="1" applyFill="1" applyBorder="1"/>
    <xf numFmtId="165" fontId="29" fillId="0" borderId="3" xfId="7" applyNumberFormat="1" applyFont="1" applyBorder="1" applyAlignment="1" applyProtection="1"/>
    <xf numFmtId="0" fontId="29" fillId="0" borderId="3" xfId="7" applyNumberFormat="1" applyFont="1" applyBorder="1" applyAlignment="1">
      <alignment wrapText="1"/>
    </xf>
    <xf numFmtId="186" fontId="12" fillId="0" borderId="16" xfId="0" applyNumberFormat="1" applyFont="1" applyBorder="1"/>
    <xf numFmtId="0" fontId="12" fillId="0" borderId="16" xfId="7" applyNumberFormat="1" applyFont="1" applyBorder="1" applyAlignment="1" applyProtection="1">
      <alignment vertical="center" wrapText="1"/>
    </xf>
    <xf numFmtId="39" fontId="12" fillId="0" borderId="16" xfId="7" applyNumberFormat="1" applyFont="1" applyBorder="1" applyAlignment="1" applyProtection="1"/>
    <xf numFmtId="0" fontId="29" fillId="0" borderId="3" xfId="47" applyFont="1" applyFill="1" applyBorder="1"/>
    <xf numFmtId="0" fontId="29" fillId="0" borderId="0" xfId="0" applyNumberFormat="1" applyFont="1" applyFill="1" applyBorder="1"/>
    <xf numFmtId="0" fontId="23" fillId="0" borderId="0" xfId="30" applyFont="1" applyFill="1" applyBorder="1" applyAlignment="1">
      <alignment wrapText="1"/>
    </xf>
    <xf numFmtId="0" fontId="12" fillId="0" borderId="3" xfId="0" applyFont="1" applyBorder="1" applyAlignment="1" applyProtection="1"/>
    <xf numFmtId="187" fontId="12" fillId="0" borderId="3" xfId="0" applyNumberFormat="1" applyFont="1" applyBorder="1" applyAlignment="1"/>
    <xf numFmtId="188" fontId="12" fillId="0" borderId="3" xfId="7" applyNumberFormat="1" applyFont="1" applyBorder="1" applyAlignment="1" applyProtection="1"/>
    <xf numFmtId="168" fontId="12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1" fillId="0" borderId="0" xfId="0" applyNumberFormat="1" applyFont="1" applyBorder="1"/>
    <xf numFmtId="0" fontId="12" fillId="0" borderId="3" xfId="0" applyFont="1" applyBorder="1"/>
    <xf numFmtId="0" fontId="0" fillId="0" borderId="5" xfId="0" applyBorder="1"/>
    <xf numFmtId="165" fontId="12" fillId="0" borderId="5" xfId="7" applyNumberFormat="1" applyFont="1" applyBorder="1" applyAlignment="1" applyProtection="1"/>
    <xf numFmtId="37" fontId="19" fillId="9" borderId="3" xfId="1" applyNumberFormat="1" applyFont="1" applyFill="1" applyBorder="1" applyAlignment="1" applyProtection="1">
      <alignment horizontal="center"/>
      <protection locked="0"/>
    </xf>
    <xf numFmtId="37" fontId="19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3" fillId="0" borderId="45" xfId="30" applyFont="1" applyFill="1" applyBorder="1" applyAlignment="1"/>
    <xf numFmtId="0" fontId="37" fillId="0" borderId="22" xfId="0" applyFont="1" applyBorder="1" applyAlignment="1">
      <alignment wrapText="1"/>
    </xf>
    <xf numFmtId="0" fontId="37" fillId="0" borderId="3" xfId="0" applyFont="1" applyBorder="1" applyAlignment="1"/>
    <xf numFmtId="165" fontId="37" fillId="0" borderId="3" xfId="7" applyNumberFormat="1" applyFont="1" applyBorder="1" applyAlignment="1" applyProtection="1">
      <alignment wrapText="1"/>
    </xf>
    <xf numFmtId="0" fontId="37" fillId="0" borderId="3" xfId="7" applyNumberFormat="1" applyFont="1" applyBorder="1" applyAlignment="1">
      <alignment wrapText="1"/>
    </xf>
    <xf numFmtId="0" fontId="37" fillId="0" borderId="3" xfId="0" applyFont="1" applyBorder="1" applyAlignment="1">
      <alignment wrapText="1"/>
    </xf>
    <xf numFmtId="0" fontId="37" fillId="0" borderId="22" xfId="0" applyFont="1" applyBorder="1"/>
    <xf numFmtId="0" fontId="37" fillId="0" borderId="3" xfId="0" applyFont="1" applyBorder="1"/>
    <xf numFmtId="165" fontId="37" fillId="0" borderId="3" xfId="7" applyNumberFormat="1" applyFont="1" applyBorder="1" applyAlignment="1" applyProtection="1"/>
    <xf numFmtId="175" fontId="37" fillId="0" borderId="3" xfId="0" applyNumberFormat="1" applyFont="1" applyBorder="1"/>
    <xf numFmtId="0" fontId="19" fillId="9" borderId="46" xfId="1" applyFont="1" applyFill="1" applyBorder="1" applyProtection="1">
      <protection locked="0"/>
    </xf>
    <xf numFmtId="0" fontId="19" fillId="9" borderId="46" xfId="1" applyFont="1" applyFill="1" applyBorder="1" applyAlignment="1">
      <alignment horizontal="left"/>
    </xf>
    <xf numFmtId="18" fontId="19" fillId="9" borderId="46" xfId="1" applyNumberFormat="1" applyFont="1" applyFill="1" applyBorder="1" applyAlignment="1" applyProtection="1">
      <protection locked="0"/>
    </xf>
    <xf numFmtId="0" fontId="26" fillId="9" borderId="46" xfId="8" applyFill="1" applyBorder="1" applyAlignment="1">
      <alignment horizontal="left"/>
    </xf>
    <xf numFmtId="172" fontId="19" fillId="9" borderId="46" xfId="5" applyNumberFormat="1" applyFont="1" applyFill="1" applyBorder="1" applyProtection="1">
      <protection locked="0"/>
    </xf>
    <xf numFmtId="37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>
      <alignment horizontal="right"/>
    </xf>
    <xf numFmtId="0" fontId="19" fillId="9" borderId="46" xfId="1" applyFont="1" applyFill="1" applyBorder="1" applyAlignment="1">
      <alignment horizontal="center"/>
    </xf>
    <xf numFmtId="0" fontId="19" fillId="10" borderId="46" xfId="1" applyFont="1" applyFill="1" applyBorder="1" applyAlignment="1">
      <alignment horizontal="left"/>
    </xf>
    <xf numFmtId="172" fontId="19" fillId="10" borderId="46" xfId="5" applyNumberFormat="1" applyFont="1" applyFill="1" applyBorder="1" applyProtection="1">
      <protection locked="0"/>
    </xf>
    <xf numFmtId="37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>
      <alignment horizontal="right"/>
    </xf>
    <xf numFmtId="0" fontId="19" fillId="10" borderId="46" xfId="1" applyFont="1" applyFill="1" applyBorder="1" applyAlignment="1" applyProtection="1">
      <alignment horizontal="center"/>
      <protection locked="0"/>
    </xf>
    <xf numFmtId="0" fontId="11" fillId="7" borderId="51" xfId="0" applyFont="1" applyFill="1" applyBorder="1"/>
    <xf numFmtId="0" fontId="26" fillId="0" borderId="0" xfId="8" applyNumberFormat="1" applyBorder="1" applyAlignment="1" applyProtection="1"/>
    <xf numFmtId="0" fontId="0" fillId="0" borderId="44" xfId="0" applyBorder="1"/>
    <xf numFmtId="0" fontId="11" fillId="7" borderId="54" xfId="0" applyFont="1" applyFill="1" applyBorder="1"/>
    <xf numFmtId="0" fontId="12" fillId="0" borderId="55" xfId="0" applyFont="1" applyBorder="1"/>
    <xf numFmtId="0" fontId="26" fillId="0" borderId="3" xfId="8" applyNumberFormat="1" applyBorder="1" applyAlignment="1" applyProtection="1"/>
    <xf numFmtId="37" fontId="12" fillId="0" borderId="3" xfId="0" applyNumberFormat="1" applyFont="1" applyBorder="1"/>
    <xf numFmtId="0" fontId="26" fillId="0" borderId="3" xfId="8" applyBorder="1"/>
    <xf numFmtId="0" fontId="26" fillId="0" borderId="3" xfId="8" applyNumberFormat="1" applyFill="1" applyBorder="1" applyAlignment="1" applyProtection="1"/>
    <xf numFmtId="0" fontId="12" fillId="0" borderId="43" xfId="7" applyNumberFormat="1" applyFont="1" applyBorder="1" applyAlignment="1"/>
    <xf numFmtId="0" fontId="12" fillId="0" borderId="55" xfId="0" applyFont="1" applyFill="1" applyBorder="1"/>
    <xf numFmtId="0" fontId="12" fillId="0" borderId="51" xfId="0" applyFont="1" applyBorder="1"/>
    <xf numFmtId="0" fontId="12" fillId="0" borderId="16" xfId="0" applyFont="1" applyBorder="1" applyAlignment="1">
      <alignment wrapText="1"/>
    </xf>
    <xf numFmtId="0" fontId="12" fillId="0" borderId="16" xfId="0" applyFont="1" applyBorder="1" applyAlignment="1"/>
    <xf numFmtId="11" fontId="12" fillId="0" borderId="16" xfId="0" applyNumberFormat="1" applyFont="1" applyBorder="1" applyAlignment="1"/>
    <xf numFmtId="0" fontId="0" fillId="0" borderId="43" xfId="0" applyBorder="1" applyAlignment="1"/>
    <xf numFmtId="0" fontId="11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2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3" fillId="0" borderId="3" xfId="30" applyFont="1" applyFill="1" applyBorder="1" applyAlignment="1">
      <alignment wrapText="1"/>
    </xf>
    <xf numFmtId="0" fontId="12" fillId="0" borderId="56" xfId="0" applyFont="1" applyBorder="1"/>
    <xf numFmtId="0" fontId="29" fillId="0" borderId="3" xfId="49" applyNumberFormat="1" applyFont="1" applyFill="1" applyBorder="1"/>
    <xf numFmtId="0" fontId="39" fillId="17" borderId="3" xfId="49" applyFont="1" applyFill="1" applyBorder="1"/>
    <xf numFmtId="0" fontId="34" fillId="0" borderId="0" xfId="49" applyFont="1" applyBorder="1"/>
    <xf numFmtId="0" fontId="39" fillId="17" borderId="3" xfId="49" applyFont="1" applyFill="1" applyBorder="1" applyAlignment="1">
      <alignment horizontal="left"/>
    </xf>
    <xf numFmtId="0" fontId="34" fillId="0" borderId="0" xfId="49" applyFont="1" applyBorder="1" applyAlignment="1">
      <alignment horizontal="right"/>
    </xf>
    <xf numFmtId="165" fontId="34" fillId="0" borderId="0" xfId="49" applyNumberFormat="1" applyFont="1" applyBorder="1"/>
    <xf numFmtId="37" fontId="34" fillId="0" borderId="0" xfId="49" applyNumberFormat="1" applyFont="1" applyBorder="1"/>
    <xf numFmtId="0" fontId="12" fillId="0" borderId="0" xfId="7" applyNumberFormat="1" applyFont="1" applyBorder="1" applyAlignment="1" applyProtection="1"/>
    <xf numFmtId="0" fontId="34" fillId="0" borderId="44" xfId="49" applyFont="1" applyBorder="1"/>
    <xf numFmtId="0" fontId="39" fillId="17" borderId="57" xfId="49" applyFont="1" applyFill="1" applyBorder="1"/>
    <xf numFmtId="0" fontId="39" fillId="17" borderId="58" xfId="49" applyFont="1" applyFill="1" applyBorder="1"/>
    <xf numFmtId="0" fontId="34" fillId="0" borderId="59" xfId="49" applyFont="1" applyBorder="1"/>
    <xf numFmtId="0" fontId="29" fillId="0" borderId="0" xfId="0" applyFont="1" applyFill="1" applyBorder="1" applyAlignment="1" applyProtection="1">
      <alignment vertical="center" wrapText="1"/>
    </xf>
    <xf numFmtId="0" fontId="34" fillId="0" borderId="60" xfId="49" applyFont="1" applyBorder="1"/>
    <xf numFmtId="165" fontId="34" fillId="0" borderId="60" xfId="49" applyNumberFormat="1" applyFont="1" applyBorder="1"/>
    <xf numFmtId="190" fontId="34" fillId="0" borderId="60" xfId="49" applyNumberFormat="1" applyFont="1" applyBorder="1"/>
    <xf numFmtId="164" fontId="34" fillId="0" borderId="60" xfId="49" applyNumberFormat="1" applyFont="1" applyBorder="1"/>
    <xf numFmtId="11" fontId="34" fillId="0" borderId="60" xfId="49" applyNumberFormat="1" applyFont="1" applyBorder="1"/>
    <xf numFmtId="191" fontId="34" fillId="0" borderId="60" xfId="49" applyNumberFormat="1" applyFont="1" applyBorder="1"/>
    <xf numFmtId="0" fontId="34" fillId="0" borderId="60" xfId="49" applyNumberFormat="1" applyFont="1" applyBorder="1"/>
    <xf numFmtId="0" fontId="39" fillId="0" borderId="44" xfId="49" applyFont="1" applyBorder="1"/>
    <xf numFmtId="0" fontId="39" fillId="0" borderId="0" xfId="49" applyFont="1" applyBorder="1"/>
    <xf numFmtId="0" fontId="39" fillId="17" borderId="61" xfId="49" applyFont="1" applyFill="1" applyBorder="1" applyAlignment="1">
      <alignment horizontal="right"/>
    </xf>
    <xf numFmtId="192" fontId="39" fillId="17" borderId="60" xfId="49" applyNumberFormat="1" applyFont="1" applyFill="1" applyBorder="1"/>
    <xf numFmtId="165" fontId="39" fillId="17" borderId="60" xfId="49" applyNumberFormat="1" applyFont="1" applyFill="1" applyBorder="1"/>
    <xf numFmtId="0" fontId="34" fillId="0" borderId="48" xfId="49" applyFont="1" applyBorder="1"/>
    <xf numFmtId="0" fontId="34" fillId="0" borderId="49" xfId="49" applyFont="1" applyBorder="1"/>
    <xf numFmtId="0" fontId="34" fillId="0" borderId="0" xfId="49" applyFont="1"/>
    <xf numFmtId="0" fontId="3" fillId="0" borderId="0" xfId="49"/>
    <xf numFmtId="0" fontId="39" fillId="17" borderId="62" xfId="49" applyFont="1" applyFill="1" applyBorder="1"/>
    <xf numFmtId="0" fontId="39" fillId="17" borderId="2" xfId="49" applyFont="1" applyFill="1" applyBorder="1" applyAlignment="1">
      <alignment horizontal="left"/>
    </xf>
    <xf numFmtId="0" fontId="39" fillId="17" borderId="2" xfId="49" applyFont="1" applyFill="1" applyBorder="1"/>
    <xf numFmtId="0" fontId="39" fillId="17" borderId="63" xfId="49" applyFont="1" applyFill="1" applyBorder="1"/>
    <xf numFmtId="0" fontId="39" fillId="17" borderId="64" xfId="49" applyFont="1" applyFill="1" applyBorder="1"/>
    <xf numFmtId="0" fontId="39" fillId="17" borderId="65" xfId="49" applyFont="1" applyFill="1" applyBorder="1"/>
    <xf numFmtId="0" fontId="39" fillId="17" borderId="66" xfId="49" applyFont="1" applyFill="1" applyBorder="1"/>
    <xf numFmtId="0" fontId="34" fillId="0" borderId="47" xfId="49" applyFont="1" applyBorder="1"/>
    <xf numFmtId="0" fontId="29" fillId="0" borderId="3" xfId="0" applyFont="1" applyFill="1" applyBorder="1" applyAlignment="1" applyProtection="1">
      <alignment vertical="center" wrapText="1"/>
    </xf>
    <xf numFmtId="0" fontId="12" fillId="0" borderId="67" xfId="0" applyFont="1" applyBorder="1" applyAlignment="1"/>
    <xf numFmtId="193" fontId="12" fillId="0" borderId="3" xfId="0" applyNumberFormat="1" applyFont="1" applyBorder="1" applyAlignment="1"/>
    <xf numFmtId="194" fontId="12" fillId="0" borderId="3" xfId="7" applyNumberFormat="1" applyFont="1" applyBorder="1" applyAlignment="1" applyProtection="1"/>
    <xf numFmtId="0" fontId="11" fillId="8" borderId="67" xfId="0" applyFont="1" applyFill="1" applyBorder="1"/>
    <xf numFmtId="0" fontId="34" fillId="0" borderId="61" xfId="49" applyFont="1" applyBorder="1"/>
    <xf numFmtId="0" fontId="34" fillId="0" borderId="60" xfId="49" applyFont="1" applyBorder="1" applyAlignment="1">
      <alignment wrapText="1"/>
    </xf>
    <xf numFmtId="0" fontId="34" fillId="0" borderId="3" xfId="49" applyFont="1" applyBorder="1"/>
    <xf numFmtId="0" fontId="34" fillId="0" borderId="49" xfId="49" applyFont="1" applyBorder="1" applyAlignment="1">
      <alignment horizontal="right"/>
    </xf>
    <xf numFmtId="165" fontId="34" fillId="0" borderId="49" xfId="49" applyNumberFormat="1" applyFont="1" applyBorder="1"/>
    <xf numFmtId="0" fontId="12" fillId="0" borderId="47" xfId="0" applyFont="1" applyBorder="1"/>
    <xf numFmtId="18" fontId="19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2" fillId="0" borderId="3" xfId="0" applyNumberFormat="1" applyFont="1" applyBorder="1" applyAlignment="1"/>
    <xf numFmtId="0" fontId="0" fillId="0" borderId="5" xfId="0" applyBorder="1" applyAlignment="1"/>
    <xf numFmtId="0" fontId="19" fillId="10" borderId="3" xfId="1" applyFont="1" applyFill="1" applyBorder="1" applyAlignment="1">
      <alignment horizontal="left"/>
    </xf>
    <xf numFmtId="0" fontId="12" fillId="0" borderId="3" xfId="0" applyFont="1" applyFill="1" applyBorder="1"/>
    <xf numFmtId="0" fontId="29" fillId="0" borderId="3" xfId="52" applyNumberFormat="1" applyFont="1" applyFill="1" applyBorder="1"/>
    <xf numFmtId="0" fontId="29" fillId="0" borderId="3" xfId="53" applyNumberFormat="1" applyFont="1" applyFill="1" applyBorder="1"/>
    <xf numFmtId="0" fontId="39" fillId="18" borderId="3" xfId="53" applyFont="1" applyFill="1" applyBorder="1"/>
    <xf numFmtId="0" fontId="34" fillId="0" borderId="0" xfId="53" applyFont="1" applyBorder="1"/>
    <xf numFmtId="0" fontId="43" fillId="0" borderId="0" xfId="54" applyBorder="1"/>
    <xf numFmtId="0" fontId="39" fillId="18" borderId="3" xfId="53" applyFont="1" applyFill="1" applyBorder="1" applyAlignment="1">
      <alignment horizontal="left"/>
    </xf>
    <xf numFmtId="0" fontId="34" fillId="0" borderId="0" xfId="53" applyFont="1" applyBorder="1" applyAlignment="1">
      <alignment horizontal="right"/>
    </xf>
    <xf numFmtId="165" fontId="34" fillId="0" borderId="0" xfId="53" applyNumberFormat="1" applyFont="1" applyBorder="1"/>
    <xf numFmtId="37" fontId="34" fillId="0" borderId="0" xfId="53" applyNumberFormat="1" applyFont="1" applyBorder="1"/>
    <xf numFmtId="0" fontId="34" fillId="0" borderId="44" xfId="53" applyFont="1" applyBorder="1"/>
    <xf numFmtId="0" fontId="39" fillId="18" borderId="57" xfId="53" applyFont="1" applyFill="1" applyBorder="1"/>
    <xf numFmtId="0" fontId="39" fillId="18" borderId="58" xfId="53" applyFont="1" applyFill="1" applyBorder="1"/>
    <xf numFmtId="0" fontId="34" fillId="0" borderId="68" xfId="53" applyFont="1" applyBorder="1"/>
    <xf numFmtId="0" fontId="29" fillId="0" borderId="69" xfId="0" applyFont="1" applyFill="1" applyBorder="1" applyAlignment="1" applyProtection="1">
      <alignment vertical="center" wrapText="1"/>
    </xf>
    <xf numFmtId="0" fontId="34" fillId="0" borderId="70" xfId="53" applyFont="1" applyBorder="1"/>
    <xf numFmtId="165" fontId="34" fillId="0" borderId="60" xfId="53" applyNumberFormat="1" applyFont="1" applyBorder="1"/>
    <xf numFmtId="190" fontId="34" fillId="0" borderId="60" xfId="53" applyNumberFormat="1" applyFont="1" applyBorder="1"/>
    <xf numFmtId="0" fontId="34" fillId="0" borderId="60" xfId="53" applyFont="1" applyBorder="1"/>
    <xf numFmtId="164" fontId="34" fillId="0" borderId="60" xfId="53" applyNumberFormat="1" applyFont="1" applyBorder="1"/>
    <xf numFmtId="11" fontId="34" fillId="0" borderId="60" xfId="53" applyNumberFormat="1" applyFont="1" applyBorder="1"/>
    <xf numFmtId="191" fontId="34" fillId="0" borderId="60" xfId="53" applyNumberFormat="1" applyFont="1" applyBorder="1"/>
    <xf numFmtId="0" fontId="34" fillId="0" borderId="60" xfId="53" applyNumberFormat="1" applyFont="1" applyBorder="1"/>
    <xf numFmtId="0" fontId="39" fillId="0" borderId="44" xfId="53" applyFont="1" applyBorder="1"/>
    <xf numFmtId="0" fontId="39" fillId="0" borderId="0" xfId="53" applyFont="1" applyBorder="1"/>
    <xf numFmtId="0" fontId="39" fillId="18" borderId="61" xfId="53" applyFont="1" applyFill="1" applyBorder="1" applyAlignment="1">
      <alignment horizontal="right"/>
    </xf>
    <xf numFmtId="192" fontId="39" fillId="18" borderId="60" xfId="53" applyNumberFormat="1" applyFont="1" applyFill="1" applyBorder="1"/>
    <xf numFmtId="0" fontId="34" fillId="0" borderId="59" xfId="53" applyFont="1" applyBorder="1"/>
    <xf numFmtId="165" fontId="39" fillId="18" borderId="60" xfId="53" applyNumberFormat="1" applyFont="1" applyFill="1" applyBorder="1"/>
    <xf numFmtId="0" fontId="34" fillId="0" borderId="48" xfId="53" applyFont="1" applyBorder="1"/>
    <xf numFmtId="0" fontId="34" fillId="0" borderId="49" xfId="53" applyFont="1" applyBorder="1"/>
    <xf numFmtId="0" fontId="34" fillId="0" borderId="0" xfId="53" applyFont="1"/>
    <xf numFmtId="0" fontId="2" fillId="0" borderId="0" xfId="53"/>
    <xf numFmtId="0" fontId="34" fillId="0" borderId="61" xfId="53" applyFont="1" applyBorder="1"/>
    <xf numFmtId="0" fontId="39" fillId="17" borderId="62" xfId="53" applyFont="1" applyFill="1" applyBorder="1"/>
    <xf numFmtId="0" fontId="39" fillId="17" borderId="2" xfId="53" applyFont="1" applyFill="1" applyBorder="1" applyAlignment="1">
      <alignment horizontal="left"/>
    </xf>
    <xf numFmtId="0" fontId="39" fillId="17" borderId="2" xfId="53" applyFont="1" applyFill="1" applyBorder="1"/>
    <xf numFmtId="0" fontId="39" fillId="17" borderId="63" xfId="53" applyFont="1" applyFill="1" applyBorder="1"/>
    <xf numFmtId="0" fontId="39" fillId="17" borderId="64" xfId="53" applyFont="1" applyFill="1" applyBorder="1"/>
    <xf numFmtId="0" fontId="39" fillId="17" borderId="65" xfId="53" applyFont="1" applyFill="1" applyBorder="1"/>
    <xf numFmtId="0" fontId="39" fillId="17" borderId="66" xfId="53" applyFont="1" applyFill="1" applyBorder="1"/>
    <xf numFmtId="0" fontId="39" fillId="17" borderId="58" xfId="53" applyFont="1" applyFill="1" applyBorder="1"/>
    <xf numFmtId="0" fontId="34" fillId="0" borderId="47" xfId="53" applyFont="1" applyBorder="1"/>
    <xf numFmtId="0" fontId="34" fillId="0" borderId="3" xfId="53" applyFont="1" applyBorder="1"/>
    <xf numFmtId="0" fontId="39" fillId="17" borderId="61" xfId="53" applyFont="1" applyFill="1" applyBorder="1" applyAlignment="1">
      <alignment horizontal="right"/>
    </xf>
    <xf numFmtId="192" fontId="39" fillId="17" borderId="60" xfId="53" applyNumberFormat="1" applyFont="1" applyFill="1" applyBorder="1"/>
    <xf numFmtId="0" fontId="39" fillId="17" borderId="57" xfId="53" applyFont="1" applyFill="1" applyBorder="1"/>
    <xf numFmtId="165" fontId="39" fillId="17" borderId="60" xfId="53" applyNumberFormat="1" applyFont="1" applyFill="1" applyBorder="1"/>
    <xf numFmtId="11" fontId="12" fillId="0" borderId="3" xfId="0" applyNumberFormat="1" applyFont="1" applyBorder="1" applyAlignment="1">
      <alignment wrapText="1"/>
    </xf>
    <xf numFmtId="0" fontId="34" fillId="0" borderId="60" xfId="53" applyFont="1" applyBorder="1" applyAlignment="1">
      <alignment wrapText="1"/>
    </xf>
    <xf numFmtId="37" fontId="12" fillId="0" borderId="3" xfId="0" applyNumberFormat="1" applyFont="1" applyBorder="1" applyAlignment="1">
      <alignment horizontal="right"/>
    </xf>
    <xf numFmtId="0" fontId="12" fillId="0" borderId="3" xfId="0" applyFont="1" applyBorder="1" applyAlignment="1">
      <alignment horizontal="right"/>
    </xf>
    <xf numFmtId="0" fontId="12" fillId="0" borderId="3" xfId="50" applyNumberFormat="1" applyFont="1" applyBorder="1" applyAlignment="1"/>
    <xf numFmtId="169" fontId="12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6" fillId="0" borderId="0" xfId="8" applyFont="1" applyBorder="1"/>
    <xf numFmtId="0" fontId="12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2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2" fillId="0" borderId="51" xfId="0" applyFont="1" applyFill="1" applyBorder="1"/>
    <xf numFmtId="0" fontId="12" fillId="0" borderId="45" xfId="30" applyFont="1" applyFill="1" applyBorder="1" applyAlignment="1">
      <alignment wrapText="1"/>
    </xf>
    <xf numFmtId="0" fontId="12" fillId="0" borderId="16" xfId="0" applyFont="1" applyFill="1" applyBorder="1"/>
    <xf numFmtId="0" fontId="12" fillId="0" borderId="55" xfId="46" applyFont="1" applyFill="1" applyBorder="1"/>
    <xf numFmtId="0" fontId="12" fillId="0" borderId="3" xfId="46" applyNumberFormat="1" applyFont="1" applyFill="1" applyBorder="1"/>
    <xf numFmtId="0" fontId="12" fillId="0" borderId="3" xfId="46" applyFont="1" applyFill="1" applyBorder="1"/>
    <xf numFmtId="0" fontId="12" fillId="0" borderId="53" xfId="30" applyFont="1" applyFill="1" applyBorder="1" applyAlignment="1">
      <alignment wrapText="1"/>
    </xf>
    <xf numFmtId="0" fontId="12" fillId="0" borderId="33" xfId="7" applyNumberFormat="1" applyFont="1" applyBorder="1" applyAlignment="1">
      <alignment wrapText="1"/>
    </xf>
    <xf numFmtId="0" fontId="12" fillId="0" borderId="3" xfId="0" applyNumberFormat="1" applyFont="1" applyFill="1" applyBorder="1"/>
    <xf numFmtId="0" fontId="12" fillId="0" borderId="3" xfId="7" applyNumberFormat="1" applyFont="1" applyBorder="1" applyAlignment="1">
      <alignment wrapText="1"/>
    </xf>
    <xf numFmtId="0" fontId="12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2" fillId="0" borderId="3" xfId="55" applyFont="1" applyFill="1" applyBorder="1"/>
    <xf numFmtId="170" fontId="12" fillId="0" borderId="3" xfId="36" applyFont="1" applyFill="1" applyBorder="1"/>
    <xf numFmtId="0" fontId="12" fillId="0" borderId="3" xfId="55" applyNumberFormat="1" applyFont="1" applyFill="1" applyBorder="1"/>
    <xf numFmtId="0" fontId="12" fillId="0" borderId="16" xfId="7" applyNumberFormat="1" applyFont="1" applyBorder="1" applyAlignment="1">
      <alignment wrapText="1"/>
    </xf>
    <xf numFmtId="0" fontId="12" fillId="0" borderId="16" xfId="42" applyFont="1" applyBorder="1"/>
    <xf numFmtId="0" fontId="13" fillId="0" borderId="3" xfId="42" applyBorder="1"/>
    <xf numFmtId="0" fontId="2" fillId="0" borderId="16" xfId="7" applyNumberFormat="1" applyFont="1" applyBorder="1" applyAlignment="1">
      <alignment wrapText="1"/>
    </xf>
    <xf numFmtId="0" fontId="29" fillId="0" borderId="3" xfId="42" applyFont="1" applyFill="1" applyBorder="1"/>
    <xf numFmtId="0" fontId="0" fillId="0" borderId="3" xfId="42" applyFont="1" applyBorder="1"/>
    <xf numFmtId="0" fontId="49" fillId="0" borderId="0" xfId="0" applyFont="1" applyBorder="1"/>
    <xf numFmtId="195" fontId="29" fillId="0" borderId="3" xfId="41" applyNumberFormat="1" applyFont="1" applyFill="1" applyBorder="1"/>
    <xf numFmtId="11" fontId="29" fillId="0" borderId="3" xfId="41" applyNumberFormat="1" applyFont="1" applyFill="1" applyBorder="1"/>
    <xf numFmtId="43" fontId="29" fillId="0" borderId="3" xfId="41" applyFont="1" applyFill="1" applyBorder="1"/>
    <xf numFmtId="2" fontId="29" fillId="0" borderId="3" xfId="36" applyNumberFormat="1" applyFont="1" applyFill="1" applyBorder="1"/>
    <xf numFmtId="0" fontId="29" fillId="0" borderId="3" xfId="55" applyFont="1" applyFill="1" applyBorder="1"/>
    <xf numFmtId="11" fontId="29" fillId="0" borderId="3" xfId="55" applyNumberFormat="1" applyFont="1" applyFill="1" applyBorder="1"/>
    <xf numFmtId="0" fontId="34" fillId="0" borderId="0" xfId="55" applyFont="1"/>
    <xf numFmtId="0" fontId="2" fillId="0" borderId="0" xfId="55"/>
    <xf numFmtId="165" fontId="39" fillId="17" borderId="60" xfId="55" applyNumberFormat="1" applyFont="1" applyFill="1" applyBorder="1"/>
    <xf numFmtId="0" fontId="39" fillId="17" borderId="61" xfId="55" applyFont="1" applyFill="1" applyBorder="1" applyAlignment="1">
      <alignment horizontal="right"/>
    </xf>
    <xf numFmtId="0" fontId="12" fillId="0" borderId="3" xfId="42" applyFont="1" applyBorder="1"/>
    <xf numFmtId="190" fontId="12" fillId="0" borderId="3" xfId="42" applyNumberFormat="1" applyFont="1" applyBorder="1"/>
    <xf numFmtId="0" fontId="12" fillId="0" borderId="3" xfId="42" applyFont="1" applyBorder="1" applyAlignment="1">
      <alignment wrapText="1"/>
    </xf>
    <xf numFmtId="0" fontId="34" fillId="0" borderId="61" xfId="55" applyFont="1" applyBorder="1"/>
    <xf numFmtId="0" fontId="39" fillId="17" borderId="58" xfId="55" applyFont="1" applyFill="1" applyBorder="1"/>
    <xf numFmtId="192" fontId="39" fillId="17" borderId="60" xfId="55" applyNumberFormat="1" applyFont="1" applyFill="1" applyBorder="1"/>
    <xf numFmtId="165" fontId="34" fillId="0" borderId="60" xfId="55" applyNumberFormat="1" applyFont="1" applyBorder="1"/>
    <xf numFmtId="0" fontId="34" fillId="0" borderId="60" xfId="55" applyNumberFormat="1" applyFont="1" applyBorder="1"/>
    <xf numFmtId="191" fontId="34" fillId="0" borderId="60" xfId="55" applyNumberFormat="1" applyFont="1" applyBorder="1"/>
    <xf numFmtId="11" fontId="34" fillId="0" borderId="60" xfId="55" applyNumberFormat="1" applyFont="1" applyBorder="1"/>
    <xf numFmtId="164" fontId="34" fillId="0" borderId="60" xfId="55" applyNumberFormat="1" applyFont="1" applyBorder="1"/>
    <xf numFmtId="0" fontId="34" fillId="0" borderId="60" xfId="55" applyFont="1" applyBorder="1"/>
    <xf numFmtId="190" fontId="34" fillId="0" borderId="60" xfId="55" applyNumberFormat="1" applyFont="1" applyBorder="1"/>
    <xf numFmtId="0" fontId="34" fillId="0" borderId="70" xfId="55" applyFont="1" applyBorder="1"/>
    <xf numFmtId="0" fontId="39" fillId="17" borderId="64" xfId="55" applyFont="1" applyFill="1" applyBorder="1"/>
    <xf numFmtId="0" fontId="39" fillId="17" borderId="2" xfId="55" applyFont="1" applyFill="1" applyBorder="1"/>
    <xf numFmtId="0" fontId="39" fillId="17" borderId="2" xfId="55" applyFont="1" applyFill="1" applyBorder="1" applyAlignment="1">
      <alignment horizontal="left"/>
    </xf>
    <xf numFmtId="0" fontId="13" fillId="0" borderId="50" xfId="42" applyBorder="1"/>
    <xf numFmtId="0" fontId="13" fillId="0" borderId="49" xfId="42" applyBorder="1"/>
    <xf numFmtId="0" fontId="13" fillId="0" borderId="48" xfId="42" applyBorder="1"/>
    <xf numFmtId="0" fontId="13" fillId="0" borderId="43" xfId="42" applyBorder="1"/>
    <xf numFmtId="0" fontId="13" fillId="0" borderId="44" xfId="42" applyBorder="1"/>
    <xf numFmtId="0" fontId="39" fillId="0" borderId="0" xfId="55" applyFont="1" applyBorder="1"/>
    <xf numFmtId="0" fontId="39" fillId="0" borderId="44" xfId="55" applyFont="1" applyBorder="1"/>
    <xf numFmtId="0" fontId="13" fillId="0" borderId="43" xfId="42" applyFont="1" applyBorder="1"/>
    <xf numFmtId="1" fontId="29" fillId="0" borderId="3" xfId="42" applyNumberFormat="1" applyFont="1" applyFill="1" applyBorder="1"/>
    <xf numFmtId="0" fontId="29" fillId="0" borderId="3" xfId="42" applyFont="1" applyFill="1" applyBorder="1" applyAlignment="1">
      <alignment wrapText="1"/>
    </xf>
    <xf numFmtId="0" fontId="13" fillId="0" borderId="71" xfId="42" applyBorder="1"/>
    <xf numFmtId="0" fontId="13" fillId="0" borderId="3" xfId="42" applyBorder="1" applyAlignment="1">
      <alignment wrapText="1"/>
    </xf>
    <xf numFmtId="0" fontId="13" fillId="0" borderId="43" xfId="42" applyBorder="1" applyAlignment="1">
      <alignment wrapText="1"/>
    </xf>
    <xf numFmtId="0" fontId="29" fillId="0" borderId="71" xfId="42" applyFont="1" applyFill="1" applyBorder="1"/>
    <xf numFmtId="0" fontId="39" fillId="17" borderId="57" xfId="55" applyFont="1" applyFill="1" applyBorder="1"/>
    <xf numFmtId="0" fontId="13" fillId="0" borderId="43" xfId="42" applyBorder="1" applyAlignment="1"/>
    <xf numFmtId="0" fontId="29" fillId="0" borderId="3" xfId="41" applyNumberFormat="1" applyFont="1" applyFill="1" applyBorder="1"/>
    <xf numFmtId="11" fontId="29" fillId="0" borderId="28" xfId="58" applyNumberFormat="1" applyFont="1" applyFill="1" applyBorder="1"/>
    <xf numFmtId="0" fontId="34" fillId="0" borderId="0" xfId="55" applyFont="1" applyBorder="1"/>
    <xf numFmtId="0" fontId="34" fillId="0" borderId="44" xfId="55" applyFont="1" applyBorder="1"/>
    <xf numFmtId="0" fontId="39" fillId="17" borderId="63" xfId="55" applyFont="1" applyFill="1" applyBorder="1"/>
    <xf numFmtId="165" fontId="34" fillId="0" borderId="0" xfId="55" applyNumberFormat="1" applyFont="1" applyBorder="1"/>
    <xf numFmtId="37" fontId="34" fillId="0" borderId="0" xfId="55" applyNumberFormat="1" applyFont="1" applyBorder="1"/>
    <xf numFmtId="0" fontId="34" fillId="0" borderId="0" xfId="55" applyFont="1" applyBorder="1" applyAlignment="1">
      <alignment horizontal="right"/>
    </xf>
    <xf numFmtId="0" fontId="39" fillId="17" borderId="62" xfId="55" applyFont="1" applyFill="1" applyBorder="1"/>
    <xf numFmtId="0" fontId="13" fillId="0" borderId="42" xfId="42" applyBorder="1"/>
    <xf numFmtId="0" fontId="13" fillId="0" borderId="41" xfId="42" applyBorder="1"/>
    <xf numFmtId="0" fontId="13" fillId="13" borderId="41" xfId="42" applyFill="1" applyBorder="1"/>
    <xf numFmtId="0" fontId="13" fillId="0" borderId="40" xfId="42" applyBorder="1"/>
    <xf numFmtId="0" fontId="29" fillId="0" borderId="0" xfId="58" applyFont="1"/>
    <xf numFmtId="0" fontId="0" fillId="0" borderId="0" xfId="0" applyFill="1" applyBorder="1"/>
    <xf numFmtId="0" fontId="29" fillId="0" borderId="0" xfId="58" applyFont="1" applyFill="1" applyBorder="1"/>
    <xf numFmtId="0" fontId="2" fillId="0" borderId="0" xfId="59" applyFill="1" applyBorder="1"/>
    <xf numFmtId="165" fontId="29" fillId="0" borderId="0" xfId="58" applyNumberFormat="1" applyFont="1" applyFill="1" applyBorder="1"/>
    <xf numFmtId="0" fontId="29" fillId="0" borderId="0" xfId="58" applyFont="1" applyFill="1" applyBorder="1" applyAlignment="1">
      <alignment horizontal="right"/>
    </xf>
    <xf numFmtId="0" fontId="50" fillId="0" borderId="0" xfId="58" applyFont="1" applyFill="1" applyBorder="1"/>
    <xf numFmtId="165" fontId="50" fillId="0" borderId="0" xfId="58" applyNumberFormat="1" applyFont="1" applyFill="1" applyBorder="1"/>
    <xf numFmtId="0" fontId="50" fillId="0" borderId="0" xfId="58" applyFont="1" applyFill="1" applyBorder="1" applyAlignment="1">
      <alignment horizontal="right"/>
    </xf>
    <xf numFmtId="165" fontId="29" fillId="0" borderId="0" xfId="29" applyFont="1" applyFill="1" applyBorder="1" applyAlignment="1" applyProtection="1"/>
    <xf numFmtId="0" fontId="29" fillId="0" borderId="0" xfId="58" applyFont="1" applyFill="1" applyBorder="1" applyAlignment="1">
      <alignment wrapText="1"/>
    </xf>
    <xf numFmtId="2" fontId="29" fillId="0" borderId="0" xfId="58" applyNumberFormat="1" applyFont="1" applyFill="1" applyBorder="1"/>
    <xf numFmtId="0" fontId="29" fillId="0" borderId="0" xfId="58" applyNumberFormat="1" applyFont="1" applyFill="1" applyBorder="1"/>
    <xf numFmtId="165" fontId="29" fillId="0" borderId="0" xfId="29" applyNumberFormat="1" applyFont="1" applyFill="1" applyBorder="1" applyAlignment="1" applyProtection="1"/>
    <xf numFmtId="0" fontId="29" fillId="0" borderId="0" xfId="60" applyNumberFormat="1" applyFont="1" applyFill="1" applyBorder="1" applyAlignment="1" applyProtection="1"/>
    <xf numFmtId="191" fontId="29" fillId="0" borderId="0" xfId="60" applyNumberFormat="1" applyFont="1" applyFill="1" applyBorder="1" applyAlignment="1" applyProtection="1"/>
    <xf numFmtId="11" fontId="29" fillId="0" borderId="0" xfId="60" applyNumberFormat="1" applyFont="1" applyFill="1" applyBorder="1" applyAlignment="1" applyProtection="1"/>
    <xf numFmtId="11" fontId="29" fillId="0" borderId="0" xfId="58" applyNumberFormat="1" applyFont="1" applyFill="1" applyBorder="1"/>
    <xf numFmtId="164" fontId="29" fillId="0" borderId="0" xfId="60" applyFont="1" applyFill="1" applyBorder="1" applyAlignment="1" applyProtection="1"/>
    <xf numFmtId="177" fontId="29" fillId="0" borderId="0" xfId="58" applyNumberFormat="1" applyFont="1" applyFill="1" applyBorder="1"/>
    <xf numFmtId="0" fontId="29" fillId="0" borderId="0" xfId="58" applyFont="1" applyFill="1" applyBorder="1" applyAlignment="1">
      <alignment horizontal="left"/>
    </xf>
    <xf numFmtId="0" fontId="23" fillId="0" borderId="0" xfId="58" applyFont="1" applyFill="1" applyBorder="1"/>
    <xf numFmtId="0" fontId="43" fillId="0" borderId="0" xfId="54" applyFill="1" applyBorder="1"/>
    <xf numFmtId="37" fontId="29" fillId="0" borderId="0" xfId="60" applyNumberFormat="1" applyFont="1" applyFill="1" applyBorder="1" applyAlignment="1" applyProtection="1"/>
    <xf numFmtId="0" fontId="34" fillId="0" borderId="0" xfId="59" applyFont="1" applyFill="1" applyBorder="1" applyAlignment="1">
      <alignment horizontal="right"/>
    </xf>
    <xf numFmtId="0" fontId="50" fillId="0" borderId="0" xfId="58" applyFont="1" applyFill="1" applyBorder="1" applyAlignment="1">
      <alignment horizontal="left"/>
    </xf>
    <xf numFmtId="0" fontId="11" fillId="8" borderId="72" xfId="0" applyFont="1" applyFill="1" applyBorder="1"/>
    <xf numFmtId="11" fontId="29" fillId="0" borderId="73" xfId="58" applyNumberFormat="1" applyFont="1" applyFill="1" applyBorder="1"/>
    <xf numFmtId="196" fontId="12" fillId="0" borderId="3" xfId="0" applyNumberFormat="1" applyFont="1" applyBorder="1" applyAlignment="1"/>
    <xf numFmtId="0" fontId="12" fillId="0" borderId="72" xfId="0" applyFont="1" applyBorder="1" applyAlignment="1"/>
    <xf numFmtId="0" fontId="11" fillId="7" borderId="3" xfId="0" applyFont="1" applyFill="1" applyBorder="1"/>
    <xf numFmtId="0" fontId="34" fillId="0" borderId="68" xfId="55" applyFont="1" applyBorder="1"/>
    <xf numFmtId="0" fontId="34" fillId="0" borderId="59" xfId="55" applyFont="1" applyBorder="1"/>
    <xf numFmtId="0" fontId="34" fillId="0" borderId="48" xfId="55" applyFont="1" applyBorder="1"/>
    <xf numFmtId="0" fontId="34" fillId="0" borderId="49" xfId="55" applyFont="1" applyBorder="1"/>
    <xf numFmtId="0" fontId="34" fillId="0" borderId="49" xfId="55" applyFont="1" applyBorder="1" applyAlignment="1">
      <alignment horizontal="right"/>
    </xf>
    <xf numFmtId="165" fontId="34" fillId="0" borderId="49" xfId="55" applyNumberFormat="1" applyFont="1" applyBorder="1"/>
    <xf numFmtId="11" fontId="29" fillId="0" borderId="3" xfId="57" applyNumberFormat="1" applyFont="1" applyFill="1" applyBorder="1"/>
    <xf numFmtId="11" fontId="12" fillId="0" borderId="3" xfId="7" applyNumberFormat="1" applyFont="1" applyBorder="1" applyAlignment="1" applyProtection="1"/>
    <xf numFmtId="0" fontId="12" fillId="0" borderId="72" xfId="0" applyFont="1" applyBorder="1" applyAlignment="1">
      <alignment wrapText="1"/>
    </xf>
    <xf numFmtId="0" fontId="12" fillId="0" borderId="3" xfId="0" applyFont="1" applyBorder="1" applyAlignment="1" applyProtection="1">
      <alignment wrapText="1"/>
    </xf>
    <xf numFmtId="0" fontId="12" fillId="0" borderId="3" xfId="0" applyFont="1" applyBorder="1" applyAlignment="1">
      <alignment wrapText="1"/>
    </xf>
    <xf numFmtId="196" fontId="12" fillId="0" borderId="3" xfId="0" applyNumberFormat="1" applyFont="1" applyBorder="1" applyAlignment="1">
      <alignment wrapText="1"/>
    </xf>
    <xf numFmtId="164" fontId="12" fillId="0" borderId="3" xfId="7" applyNumberFormat="1" applyFont="1" applyBorder="1" applyAlignment="1" applyProtection="1">
      <alignment wrapText="1"/>
    </xf>
    <xf numFmtId="11" fontId="29" fillId="0" borderId="73" xfId="58" applyNumberFormat="1" applyFont="1" applyFill="1" applyBorder="1" applyAlignment="1">
      <alignment wrapText="1"/>
    </xf>
    <xf numFmtId="0" fontId="11" fillId="0" borderId="21" xfId="0" applyFont="1" applyBorder="1" applyAlignment="1">
      <alignment wrapText="1"/>
    </xf>
    <xf numFmtId="0" fontId="11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1" fillId="8" borderId="72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34" fillId="0" borderId="61" xfId="55" applyFont="1" applyBorder="1" applyAlignment="1">
      <alignment wrapText="1"/>
    </xf>
    <xf numFmtId="0" fontId="34" fillId="0" borderId="60" xfId="55" applyFont="1" applyBorder="1" applyAlignment="1">
      <alignment wrapText="1"/>
    </xf>
    <xf numFmtId="165" fontId="34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2" fillId="0" borderId="3" xfId="7" applyNumberFormat="1" applyFont="1" applyBorder="1" applyAlignment="1" applyProtection="1">
      <alignment wrapText="1"/>
    </xf>
    <xf numFmtId="0" fontId="11" fillId="8" borderId="3" xfId="0" applyFont="1" applyFill="1" applyBorder="1" applyAlignment="1">
      <alignment horizontal="right" wrapText="1"/>
    </xf>
    <xf numFmtId="165" fontId="11" fillId="8" borderId="5" xfId="0" applyNumberFormat="1" applyFont="1" applyFill="1" applyBorder="1" applyAlignment="1">
      <alignment wrapText="1"/>
    </xf>
    <xf numFmtId="0" fontId="11" fillId="8" borderId="5" xfId="0" applyFont="1" applyFill="1" applyBorder="1" applyAlignment="1">
      <alignment horizontal="right" wrapText="1"/>
    </xf>
    <xf numFmtId="11" fontId="12" fillId="0" borderId="3" xfId="7" applyNumberFormat="1" applyFont="1" applyBorder="1" applyAlignment="1" applyProtection="1">
      <alignment wrapText="1"/>
    </xf>
    <xf numFmtId="0" fontId="11" fillId="7" borderId="16" xfId="0" applyFont="1" applyFill="1" applyBorder="1" applyAlignment="1"/>
    <xf numFmtId="0" fontId="11" fillId="7" borderId="0" xfId="0" applyFont="1" applyFill="1" applyBorder="1" applyAlignment="1"/>
    <xf numFmtId="37" fontId="12" fillId="0" borderId="16" xfId="0" applyNumberFormat="1" applyFont="1" applyBorder="1"/>
    <xf numFmtId="0" fontId="26" fillId="0" borderId="16" xfId="8" applyBorder="1"/>
    <xf numFmtId="165" fontId="11" fillId="7" borderId="16" xfId="0" applyNumberFormat="1" applyFont="1" applyFill="1" applyBorder="1" applyAlignment="1"/>
    <xf numFmtId="0" fontId="29" fillId="0" borderId="74" xfId="0" applyFont="1" applyFill="1" applyBorder="1"/>
    <xf numFmtId="170" fontId="29" fillId="0" borderId="74" xfId="36" applyFont="1" applyFill="1" applyBorder="1"/>
    <xf numFmtId="0" fontId="29" fillId="0" borderId="3" xfId="0" applyFont="1" applyFill="1" applyBorder="1"/>
    <xf numFmtId="0" fontId="11" fillId="8" borderId="16" xfId="0" applyFont="1" applyFill="1" applyBorder="1" applyAlignment="1"/>
    <xf numFmtId="0" fontId="26" fillId="0" borderId="0" xfId="8" applyFill="1"/>
    <xf numFmtId="0" fontId="11" fillId="8" borderId="2" xfId="0" applyFont="1" applyFill="1" applyBorder="1" applyAlignment="1"/>
    <xf numFmtId="0" fontId="11" fillId="8" borderId="27" xfId="0" applyFont="1" applyFill="1" applyBorder="1" applyAlignment="1"/>
    <xf numFmtId="0" fontId="11" fillId="8" borderId="5" xfId="0" applyFont="1" applyFill="1" applyBorder="1" applyAlignment="1"/>
    <xf numFmtId="0" fontId="11" fillId="8" borderId="3" xfId="0" applyFont="1" applyFill="1" applyBorder="1" applyAlignment="1"/>
    <xf numFmtId="43" fontId="12" fillId="0" borderId="3" xfId="0" applyNumberFormat="1" applyFont="1" applyBorder="1" applyAlignment="1"/>
    <xf numFmtId="177" fontId="12" fillId="0" borderId="3" xfId="7" applyNumberFormat="1" applyFont="1" applyBorder="1" applyAlignment="1" applyProtection="1"/>
    <xf numFmtId="165" fontId="11" fillId="8" borderId="5" xfId="0" applyNumberFormat="1" applyFont="1" applyFill="1" applyBorder="1" applyAlignment="1"/>
    <xf numFmtId="0" fontId="11" fillId="8" borderId="22" xfId="0" applyFont="1" applyFill="1" applyBorder="1" applyAlignment="1"/>
    <xf numFmtId="0" fontId="29" fillId="0" borderId="3" xfId="0" applyFont="1" applyFill="1" applyBorder="1" applyAlignment="1">
      <alignment wrapText="1"/>
    </xf>
    <xf numFmtId="0" fontId="29" fillId="0" borderId="3" xfId="0" applyNumberFormat="1" applyFont="1" applyFill="1" applyBorder="1" applyAlignment="1">
      <alignment wrapText="1"/>
    </xf>
    <xf numFmtId="170" fontId="29" fillId="0" borderId="3" xfId="36" applyFont="1" applyFill="1" applyBorder="1" applyAlignment="1">
      <alignment wrapText="1"/>
    </xf>
    <xf numFmtId="165" fontId="12" fillId="0" borderId="16" xfId="7" applyNumberFormat="1" applyFont="1" applyBorder="1" applyAlignment="1" applyProtection="1">
      <alignment wrapText="1"/>
    </xf>
    <xf numFmtId="0" fontId="29" fillId="0" borderId="3" xfId="42" applyFont="1" applyBorder="1" applyAlignment="1">
      <alignment wrapText="1"/>
    </xf>
    <xf numFmtId="170" fontId="29" fillId="0" borderId="74" xfId="36" applyFont="1" applyFill="1" applyBorder="1" applyAlignment="1">
      <alignment wrapText="1"/>
    </xf>
    <xf numFmtId="172" fontId="29" fillId="0" borderId="3" xfId="0" applyNumberFormat="1" applyFont="1" applyFill="1" applyBorder="1" applyAlignment="1">
      <alignment wrapText="1"/>
    </xf>
    <xf numFmtId="170" fontId="34" fillId="0" borderId="45" xfId="36" applyFont="1" applyBorder="1" applyAlignment="1">
      <alignment wrapText="1"/>
    </xf>
    <xf numFmtId="165" fontId="11" fillId="8" borderId="75" xfId="0" applyNumberFormat="1" applyFont="1" applyFill="1" applyBorder="1" applyAlignment="1"/>
    <xf numFmtId="0" fontId="0" fillId="0" borderId="32" xfId="0" applyBorder="1"/>
    <xf numFmtId="0" fontId="11" fillId="8" borderId="51" xfId="0" applyFont="1" applyFill="1" applyBorder="1" applyAlignment="1"/>
    <xf numFmtId="0" fontId="11" fillId="0" borderId="76" xfId="0" applyFont="1" applyBorder="1"/>
    <xf numFmtId="0" fontId="11" fillId="8" borderId="77" xfId="0" applyFont="1" applyFill="1" applyBorder="1" applyAlignment="1"/>
    <xf numFmtId="0" fontId="12" fillId="0" borderId="55" xfId="0" applyFont="1" applyBorder="1" applyAlignment="1"/>
    <xf numFmtId="0" fontId="11" fillId="8" borderId="55" xfId="0" applyFont="1" applyFill="1" applyBorder="1" applyAlignment="1"/>
    <xf numFmtId="0" fontId="29" fillId="0" borderId="55" xfId="0" applyFont="1" applyFill="1" applyBorder="1"/>
    <xf numFmtId="0" fontId="12" fillId="0" borderId="55" xfId="0" applyFont="1" applyBorder="1" applyAlignment="1">
      <alignment wrapText="1"/>
    </xf>
    <xf numFmtId="43" fontId="12" fillId="0" borderId="3" xfId="0" applyNumberFormat="1" applyFont="1" applyBorder="1" applyAlignment="1">
      <alignment wrapText="1"/>
    </xf>
    <xf numFmtId="177" fontId="12" fillId="0" borderId="3" xfId="7" applyNumberFormat="1" applyFont="1" applyBorder="1" applyAlignment="1" applyProtection="1">
      <alignment wrapText="1"/>
    </xf>
    <xf numFmtId="168" fontId="12" fillId="0" borderId="3" xfId="7" applyNumberFormat="1" applyFont="1" applyBorder="1" applyAlignment="1" applyProtection="1">
      <alignment wrapText="1"/>
    </xf>
    <xf numFmtId="0" fontId="29" fillId="0" borderId="55" xfId="0" applyFont="1" applyFill="1" applyBorder="1" applyAlignment="1">
      <alignment wrapText="1"/>
    </xf>
    <xf numFmtId="170" fontId="29" fillId="0" borderId="3" xfId="3" applyFont="1" applyFill="1" applyBorder="1" applyAlignment="1">
      <alignment wrapText="1"/>
    </xf>
    <xf numFmtId="0" fontId="12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1" fillId="7" borderId="51" xfId="0" applyFont="1" applyFill="1" applyBorder="1" applyAlignment="1"/>
    <xf numFmtId="0" fontId="29" fillId="0" borderId="78" xfId="0" applyFont="1" applyFill="1" applyBorder="1"/>
    <xf numFmtId="0" fontId="29" fillId="0" borderId="78" xfId="0" applyFont="1" applyFill="1" applyBorder="1" applyAlignment="1">
      <alignment wrapText="1"/>
    </xf>
    <xf numFmtId="0" fontId="29" fillId="0" borderId="43" xfId="0" applyFont="1" applyFill="1" applyBorder="1"/>
    <xf numFmtId="0" fontId="12" fillId="0" borderId="0" xfId="7" applyNumberFormat="1" applyFont="1" applyBorder="1" applyAlignment="1"/>
    <xf numFmtId="0" fontId="11" fillId="0" borderId="43" xfId="0" applyFont="1" applyBorder="1"/>
    <xf numFmtId="165" fontId="12" fillId="0" borderId="74" xfId="7" applyNumberFormat="1" applyFont="1" applyBorder="1" applyAlignment="1" applyProtection="1"/>
    <xf numFmtId="165" fontId="11" fillId="8" borderId="3" xfId="0" applyNumberFormat="1" applyFont="1" applyFill="1" applyBorder="1" applyAlignment="1"/>
    <xf numFmtId="49" fontId="26" fillId="0" borderId="3" xfId="8" applyNumberFormat="1" applyBorder="1" applyAlignment="1" applyProtection="1"/>
    <xf numFmtId="49" fontId="26" fillId="10" borderId="3" xfId="8" applyNumberFormat="1" applyFill="1" applyBorder="1"/>
    <xf numFmtId="0" fontId="26" fillId="10" borderId="3" xfId="8" applyFill="1" applyBorder="1"/>
    <xf numFmtId="0" fontId="23" fillId="0" borderId="79" xfId="30" applyFont="1" applyFill="1" applyBorder="1" applyAlignment="1">
      <alignment wrapText="1"/>
    </xf>
    <xf numFmtId="39" fontId="29" fillId="0" borderId="3" xfId="36" applyNumberFormat="1" applyFont="1" applyFill="1" applyBorder="1"/>
    <xf numFmtId="37" fontId="29" fillId="0" borderId="3" xfId="36" applyNumberFormat="1" applyFont="1" applyFill="1" applyBorder="1"/>
    <xf numFmtId="0" fontId="11" fillId="8" borderId="72" xfId="0" applyFont="1" applyFill="1" applyBorder="1" applyAlignment="1"/>
    <xf numFmtId="165" fontId="29" fillId="0" borderId="16" xfId="7" applyNumberFormat="1" applyFont="1" applyBorder="1" applyAlignment="1" applyProtection="1">
      <alignment wrapText="1"/>
    </xf>
    <xf numFmtId="0" fontId="29" fillId="0" borderId="79" xfId="30" applyFont="1" applyFill="1" applyBorder="1" applyAlignment="1">
      <alignment wrapText="1"/>
    </xf>
    <xf numFmtId="170" fontId="34" fillId="0" borderId="79" xfId="36" applyFont="1" applyBorder="1" applyAlignment="1">
      <alignment wrapText="1"/>
    </xf>
    <xf numFmtId="165" fontId="12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  <xf numFmtId="0" fontId="29" fillId="0" borderId="3" xfId="62" applyFont="1" applyFill="1" applyBorder="1"/>
    <xf numFmtId="11" fontId="29" fillId="0" borderId="3" xfId="62" applyNumberFormat="1" applyFont="1" applyFill="1" applyBorder="1"/>
    <xf numFmtId="0" fontId="1" fillId="0" borderId="16" xfId="7" applyNumberFormat="1" applyFont="1" applyBorder="1" applyAlignment="1">
      <alignment wrapText="1"/>
    </xf>
    <xf numFmtId="0" fontId="12" fillId="0" borderId="3" xfId="62" applyNumberFormat="1" applyFont="1" applyFill="1" applyBorder="1"/>
    <xf numFmtId="0" fontId="12" fillId="0" borderId="3" xfId="62" applyFont="1" applyFill="1" applyBorder="1"/>
    <xf numFmtId="0" fontId="39" fillId="17" borderId="62" xfId="62" applyFont="1" applyFill="1" applyBorder="1"/>
    <xf numFmtId="0" fontId="34" fillId="0" borderId="0" xfId="62" applyFont="1" applyBorder="1"/>
    <xf numFmtId="0" fontId="39" fillId="17" borderId="2" xfId="62" applyFont="1" applyFill="1" applyBorder="1" applyAlignment="1">
      <alignment horizontal="left"/>
    </xf>
    <xf numFmtId="0" fontId="34" fillId="0" borderId="0" xfId="62" applyFont="1" applyBorder="1" applyAlignment="1">
      <alignment horizontal="right"/>
    </xf>
    <xf numFmtId="0" fontId="39" fillId="17" borderId="2" xfId="62" applyFont="1" applyFill="1" applyBorder="1"/>
    <xf numFmtId="165" fontId="34" fillId="0" borderId="0" xfId="62" applyNumberFormat="1" applyFont="1" applyBorder="1"/>
    <xf numFmtId="0" fontId="39" fillId="17" borderId="63" xfId="62" applyFont="1" applyFill="1" applyBorder="1"/>
    <xf numFmtId="0" fontId="39" fillId="17" borderId="64" xfId="62" applyFont="1" applyFill="1" applyBorder="1"/>
    <xf numFmtId="37" fontId="34" fillId="0" borderId="0" xfId="62" applyNumberFormat="1" applyFont="1" applyBorder="1"/>
    <xf numFmtId="0" fontId="34" fillId="0" borderId="44" xfId="62" applyFont="1" applyBorder="1"/>
    <xf numFmtId="0" fontId="39" fillId="17" borderId="57" xfId="62" applyFont="1" applyFill="1" applyBorder="1"/>
    <xf numFmtId="0" fontId="39" fillId="17" borderId="58" xfId="62" applyFont="1" applyFill="1" applyBorder="1"/>
    <xf numFmtId="0" fontId="34" fillId="0" borderId="68" xfId="62" applyFont="1" applyBorder="1"/>
    <xf numFmtId="0" fontId="34" fillId="0" borderId="70" xfId="62" applyFont="1" applyBorder="1"/>
    <xf numFmtId="165" fontId="34" fillId="0" borderId="60" xfId="62" applyNumberFormat="1" applyFont="1" applyBorder="1"/>
    <xf numFmtId="190" fontId="34" fillId="0" borderId="60" xfId="62" applyNumberFormat="1" applyFont="1" applyBorder="1"/>
    <xf numFmtId="0" fontId="34" fillId="0" borderId="60" xfId="62" applyFont="1" applyBorder="1"/>
    <xf numFmtId="164" fontId="34" fillId="0" borderId="60" xfId="62" applyNumberFormat="1" applyFont="1" applyBorder="1"/>
    <xf numFmtId="11" fontId="34" fillId="0" borderId="60" xfId="62" applyNumberFormat="1" applyFont="1" applyBorder="1"/>
    <xf numFmtId="191" fontId="34" fillId="0" borderId="60" xfId="62" applyNumberFormat="1" applyFont="1" applyBorder="1"/>
    <xf numFmtId="0" fontId="34" fillId="0" borderId="60" xfId="62" applyNumberFormat="1" applyFont="1" applyBorder="1"/>
    <xf numFmtId="0" fontId="39" fillId="0" borderId="44" xfId="62" applyFont="1" applyBorder="1"/>
    <xf numFmtId="0" fontId="39" fillId="0" borderId="0" xfId="62" applyFont="1" applyBorder="1"/>
    <xf numFmtId="0" fontId="39" fillId="17" borderId="61" xfId="62" applyFont="1" applyFill="1" applyBorder="1" applyAlignment="1">
      <alignment horizontal="right"/>
    </xf>
    <xf numFmtId="192" fontId="39" fillId="17" borderId="60" xfId="62" applyNumberFormat="1" applyFont="1" applyFill="1" applyBorder="1"/>
    <xf numFmtId="0" fontId="34" fillId="0" borderId="59" xfId="62" applyFont="1" applyBorder="1"/>
    <xf numFmtId="165" fontId="39" fillId="17" borderId="60" xfId="62" applyNumberFormat="1" applyFont="1" applyFill="1" applyBorder="1"/>
    <xf numFmtId="0" fontId="34" fillId="0" borderId="48" xfId="62" applyFont="1" applyBorder="1"/>
    <xf numFmtId="0" fontId="34" fillId="0" borderId="49" xfId="62" applyFont="1" applyBorder="1"/>
    <xf numFmtId="0" fontId="34" fillId="0" borderId="49" xfId="62" applyFont="1" applyBorder="1" applyAlignment="1">
      <alignment horizontal="right"/>
    </xf>
    <xf numFmtId="165" fontId="34" fillId="0" borderId="49" xfId="62" applyNumberFormat="1" applyFont="1" applyBorder="1"/>
    <xf numFmtId="0" fontId="34" fillId="0" borderId="0" xfId="62" applyFont="1"/>
    <xf numFmtId="0" fontId="1" fillId="0" borderId="0" xfId="62"/>
    <xf numFmtId="0" fontId="29" fillId="0" borderId="80" xfId="42" applyFont="1" applyFill="1" applyBorder="1"/>
    <xf numFmtId="170" fontId="29" fillId="0" borderId="81" xfId="3" applyFont="1" applyFill="1" applyBorder="1"/>
    <xf numFmtId="0" fontId="29" fillId="0" borderId="81" xfId="42" applyFont="1" applyFill="1" applyBorder="1"/>
    <xf numFmtId="43" fontId="29" fillId="0" borderId="81" xfId="41" applyFont="1" applyFill="1" applyBorder="1"/>
    <xf numFmtId="11" fontId="29" fillId="0" borderId="81" xfId="57" applyNumberFormat="1" applyFont="1" applyFill="1" applyBorder="1"/>
    <xf numFmtId="11" fontId="29" fillId="0" borderId="81" xfId="41" applyNumberFormat="1" applyFont="1" applyFill="1" applyBorder="1"/>
    <xf numFmtId="0" fontId="29" fillId="0" borderId="81" xfId="41" applyNumberFormat="1" applyFont="1" applyFill="1" applyBorder="1"/>
    <xf numFmtId="170" fontId="29" fillId="0" borderId="81" xfId="36" applyNumberFormat="1" applyFont="1" applyFill="1" applyBorder="1"/>
    <xf numFmtId="0" fontId="13" fillId="0" borderId="80" xfId="42" applyBorder="1"/>
    <xf numFmtId="0" fontId="29" fillId="0" borderId="81" xfId="30" applyFont="1" applyFill="1" applyBorder="1" applyAlignment="1">
      <alignment wrapText="1"/>
    </xf>
    <xf numFmtId="0" fontId="13" fillId="0" borderId="81" xfId="42" applyBorder="1" applyAlignment="1">
      <alignment wrapText="1"/>
    </xf>
    <xf numFmtId="0" fontId="13" fillId="0" borderId="81" xfId="42" applyBorder="1"/>
    <xf numFmtId="170" fontId="29" fillId="0" borderId="81" xfId="3" applyNumberFormat="1" applyFont="1" applyFill="1" applyBorder="1" applyAlignment="1"/>
    <xf numFmtId="0" fontId="29" fillId="0" borderId="81" xfId="42" applyFont="1" applyFill="1" applyBorder="1" applyAlignment="1">
      <alignment wrapText="1"/>
    </xf>
    <xf numFmtId="1" fontId="29" fillId="0" borderId="81" xfId="42" applyNumberFormat="1" applyFont="1" applyFill="1" applyBorder="1"/>
    <xf numFmtId="0" fontId="23" fillId="0" borderId="81" xfId="30" applyFont="1" applyFill="1" applyBorder="1" applyAlignment="1">
      <alignment wrapText="1"/>
    </xf>
    <xf numFmtId="0" fontId="11" fillId="8" borderId="81" xfId="0" applyFont="1" applyFill="1" applyBorder="1"/>
    <xf numFmtId="0" fontId="12" fillId="0" borderId="82" xfId="0" applyFont="1" applyBorder="1" applyAlignment="1"/>
    <xf numFmtId="0" fontId="12" fillId="0" borderId="81" xfId="0" applyFont="1" applyBorder="1" applyAlignment="1" applyProtection="1"/>
    <xf numFmtId="0" fontId="12" fillId="0" borderId="81" xfId="0" applyFont="1" applyBorder="1" applyAlignment="1"/>
    <xf numFmtId="165" fontId="12" fillId="0" borderId="81" xfId="7" applyNumberFormat="1" applyFont="1" applyBorder="1" applyAlignment="1" applyProtection="1"/>
    <xf numFmtId="196" fontId="12" fillId="0" borderId="81" xfId="0" applyNumberFormat="1" applyFont="1" applyBorder="1" applyAlignment="1"/>
    <xf numFmtId="164" fontId="12" fillId="0" borderId="81" xfId="7" applyNumberFormat="1" applyFont="1" applyBorder="1" applyAlignment="1" applyProtection="1"/>
    <xf numFmtId="11" fontId="12" fillId="0" borderId="81" xfId="7" applyNumberFormat="1" applyFont="1" applyBorder="1" applyAlignment="1" applyProtection="1"/>
    <xf numFmtId="3" fontId="0" fillId="0" borderId="81" xfId="0" applyNumberFormat="1" applyBorder="1" applyAlignment="1"/>
    <xf numFmtId="2" fontId="12" fillId="0" borderId="81" xfId="7" applyNumberFormat="1" applyFont="1" applyBorder="1" applyAlignment="1" applyProtection="1"/>
    <xf numFmtId="0" fontId="11" fillId="8" borderId="81" xfId="0" applyFont="1" applyFill="1" applyBorder="1" applyAlignment="1">
      <alignment horizontal="right"/>
    </xf>
    <xf numFmtId="0" fontId="11" fillId="8" borderId="82" xfId="0" applyFont="1" applyFill="1" applyBorder="1"/>
    <xf numFmtId="0" fontId="34" fillId="0" borderId="61" xfId="62" applyFont="1" applyBorder="1"/>
    <xf numFmtId="0" fontId="34" fillId="0" borderId="0" xfId="64" applyFont="1" applyFill="1" applyBorder="1" applyAlignment="1">
      <alignment horizontal="right"/>
    </xf>
    <xf numFmtId="0" fontId="1" fillId="0" borderId="0" xfId="64" applyFill="1" applyBorder="1"/>
    <xf numFmtId="0" fontId="12" fillId="0" borderId="82" xfId="0" applyFont="1" applyBorder="1" applyAlignment="1">
      <alignment wrapText="1"/>
    </xf>
    <xf numFmtId="0" fontId="12" fillId="0" borderId="81" xfId="0" applyFont="1" applyBorder="1" applyAlignment="1" applyProtection="1">
      <alignment wrapText="1"/>
    </xf>
    <xf numFmtId="0" fontId="12" fillId="0" borderId="81" xfId="0" applyFont="1" applyBorder="1" applyAlignment="1">
      <alignment wrapText="1"/>
    </xf>
    <xf numFmtId="165" fontId="12" fillId="0" borderId="81" xfId="7" applyNumberFormat="1" applyFont="1" applyBorder="1" applyAlignment="1" applyProtection="1">
      <alignment wrapText="1"/>
    </xf>
    <xf numFmtId="196" fontId="12" fillId="0" borderId="81" xfId="0" applyNumberFormat="1" applyFont="1" applyBorder="1" applyAlignment="1">
      <alignment wrapText="1"/>
    </xf>
    <xf numFmtId="164" fontId="12" fillId="0" borderId="81" xfId="7" applyNumberFormat="1" applyFont="1" applyBorder="1" applyAlignment="1" applyProtection="1">
      <alignment wrapText="1"/>
    </xf>
    <xf numFmtId="11" fontId="29" fillId="0" borderId="28" xfId="58" applyNumberFormat="1" applyFont="1" applyFill="1" applyBorder="1" applyAlignment="1">
      <alignment wrapText="1"/>
    </xf>
    <xf numFmtId="11" fontId="29" fillId="0" borderId="81" xfId="57" applyNumberFormat="1" applyFont="1" applyFill="1" applyBorder="1" applyAlignment="1">
      <alignment wrapText="1"/>
    </xf>
    <xf numFmtId="11" fontId="12" fillId="0" borderId="81" xfId="7" applyNumberFormat="1" applyFont="1" applyBorder="1" applyAlignment="1" applyProtection="1">
      <alignment wrapText="1"/>
    </xf>
    <xf numFmtId="3" fontId="0" fillId="0" borderId="81" xfId="0" applyNumberFormat="1" applyBorder="1" applyAlignment="1">
      <alignment wrapText="1"/>
    </xf>
    <xf numFmtId="2" fontId="12" fillId="0" borderId="81" xfId="7" applyNumberFormat="1" applyFont="1" applyBorder="1" applyAlignment="1" applyProtection="1">
      <alignment wrapText="1"/>
    </xf>
    <xf numFmtId="0" fontId="34" fillId="0" borderId="61" xfId="62" applyFont="1" applyBorder="1" applyAlignment="1">
      <alignment wrapText="1"/>
    </xf>
    <xf numFmtId="0" fontId="34" fillId="0" borderId="60" xfId="62" applyFont="1" applyBorder="1" applyAlignment="1">
      <alignment wrapText="1"/>
    </xf>
    <xf numFmtId="165" fontId="34" fillId="0" borderId="60" xfId="62" applyNumberFormat="1" applyFont="1" applyBorder="1" applyAlignment="1">
      <alignment wrapText="1"/>
    </xf>
    <xf numFmtId="0" fontId="19" fillId="9" borderId="81" xfId="1" applyFont="1" applyFill="1" applyBorder="1" applyProtection="1">
      <protection locked="0"/>
    </xf>
    <xf numFmtId="18" fontId="19" fillId="9" borderId="81" xfId="1" applyNumberFormat="1" applyFont="1" applyFill="1" applyBorder="1" applyAlignment="1" applyProtection="1">
      <protection locked="0"/>
    </xf>
    <xf numFmtId="0" fontId="26" fillId="9" borderId="81" xfId="8" applyFill="1" applyBorder="1" applyAlignment="1">
      <alignment horizontal="left"/>
    </xf>
    <xf numFmtId="172" fontId="19" fillId="9" borderId="81" xfId="5" applyNumberFormat="1" applyFont="1" applyFill="1" applyBorder="1" applyProtection="1">
      <protection locked="0"/>
    </xf>
    <xf numFmtId="37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>
      <alignment horizontal="right"/>
    </xf>
    <xf numFmtId="0" fontId="19" fillId="9" borderId="81" xfId="1" applyFont="1" applyFill="1" applyBorder="1" applyAlignment="1">
      <alignment horizontal="center"/>
    </xf>
    <xf numFmtId="0" fontId="19" fillId="10" borderId="81" xfId="1" applyFont="1" applyFill="1" applyBorder="1" applyProtection="1">
      <protection locked="0"/>
    </xf>
    <xf numFmtId="18" fontId="19" fillId="10" borderId="81" xfId="1" applyNumberFormat="1" applyFont="1" applyFill="1" applyBorder="1" applyAlignment="1" applyProtection="1">
      <protection locked="0"/>
    </xf>
    <xf numFmtId="172" fontId="19" fillId="10" borderId="81" xfId="5" applyNumberFormat="1" applyFont="1" applyFill="1" applyBorder="1" applyProtection="1">
      <protection locked="0"/>
    </xf>
    <xf numFmtId="37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>
      <alignment horizontal="right"/>
    </xf>
    <xf numFmtId="0" fontId="19" fillId="10" borderId="81" xfId="1" applyFont="1" applyFill="1" applyBorder="1" applyAlignment="1">
      <alignment horizontal="center"/>
    </xf>
    <xf numFmtId="0" fontId="19" fillId="10" borderId="81" xfId="1" applyFont="1" applyFill="1" applyBorder="1" applyAlignment="1" applyProtection="1">
      <alignment horizontal="center"/>
      <protection locked="0"/>
    </xf>
    <xf numFmtId="0" fontId="19" fillId="10" borderId="37" xfId="1" applyFont="1" applyFill="1" applyBorder="1" applyProtection="1">
      <protection locked="0"/>
    </xf>
    <xf numFmtId="0" fontId="12" fillId="0" borderId="81" xfId="0" applyFont="1" applyBorder="1"/>
    <xf numFmtId="37" fontId="12" fillId="0" borderId="81" xfId="0" applyNumberFormat="1" applyFont="1" applyBorder="1"/>
    <xf numFmtId="49" fontId="26" fillId="0" borderId="81" xfId="8" applyNumberFormat="1" applyBorder="1" applyAlignment="1" applyProtection="1"/>
    <xf numFmtId="0" fontId="29" fillId="0" borderId="81" xfId="62" applyFont="1" applyFill="1" applyBorder="1"/>
    <xf numFmtId="170" fontId="29" fillId="0" borderId="81" xfId="36" applyFont="1" applyFill="1" applyBorder="1"/>
    <xf numFmtId="11" fontId="29" fillId="0" borderId="81" xfId="62" applyNumberFormat="1" applyFont="1" applyFill="1" applyBorder="1"/>
    <xf numFmtId="195" fontId="29" fillId="0" borderId="81" xfId="41" applyNumberFormat="1" applyFont="1" applyFill="1" applyBorder="1"/>
    <xf numFmtId="2" fontId="29" fillId="0" borderId="81" xfId="36" applyNumberFormat="1" applyFont="1" applyFill="1" applyBorder="1"/>
    <xf numFmtId="0" fontId="12" fillId="0" borderId="81" xfId="30" applyFont="1" applyFill="1" applyBorder="1" applyAlignment="1">
      <alignment wrapText="1"/>
    </xf>
    <xf numFmtId="0" fontId="12" fillId="0" borderId="81" xfId="62" applyNumberFormat="1" applyFont="1" applyFill="1" applyBorder="1"/>
    <xf numFmtId="170" fontId="12" fillId="0" borderId="81" xfId="36" applyFont="1" applyFill="1" applyBorder="1"/>
    <xf numFmtId="0" fontId="12" fillId="0" borderId="81" xfId="62" applyFont="1" applyFill="1" applyBorder="1"/>
    <xf numFmtId="0" fontId="39" fillId="17" borderId="65" xfId="62" applyFont="1" applyFill="1" applyBorder="1"/>
    <xf numFmtId="0" fontId="39" fillId="17" borderId="66" xfId="62" applyFont="1" applyFill="1" applyBorder="1"/>
    <xf numFmtId="0" fontId="34" fillId="0" borderId="80" xfId="62" applyFont="1" applyBorder="1"/>
    <xf numFmtId="0" fontId="34" fillId="0" borderId="81" xfId="62" applyFont="1" applyBorder="1"/>
    <xf numFmtId="165" fontId="34" fillId="0" borderId="81" xfId="62" applyNumberFormat="1" applyFont="1" applyBorder="1"/>
    <xf numFmtId="44" fontId="34" fillId="0" borderId="81" xfId="61" applyFont="1" applyBorder="1"/>
    <xf numFmtId="0" fontId="29" fillId="0" borderId="81" xfId="0" applyFont="1" applyBorder="1"/>
    <xf numFmtId="49" fontId="26" fillId="10" borderId="0" xfId="8" applyNumberFormat="1" applyFill="1"/>
    <xf numFmtId="43" fontId="34" fillId="0" borderId="3" xfId="9" applyNumberFormat="1" applyFont="1" applyFill="1" applyBorder="1" applyAlignment="1"/>
    <xf numFmtId="11" fontId="34" fillId="0" borderId="3" xfId="9" applyNumberFormat="1" applyFont="1" applyBorder="1" applyAlignment="1">
      <alignment wrapText="1"/>
    </xf>
    <xf numFmtId="0" fontId="38" fillId="0" borderId="6" xfId="30" applyFont="1" applyFill="1" applyBorder="1" applyAlignment="1">
      <alignment wrapText="1"/>
    </xf>
    <xf numFmtId="11" fontId="44" fillId="0" borderId="16" xfId="7" applyNumberFormat="1" applyFont="1" applyBorder="1" applyAlignment="1" applyProtection="1"/>
    <xf numFmtId="177" fontId="13" fillId="0" borderId="3" xfId="42" applyNumberFormat="1" applyBorder="1"/>
    <xf numFmtId="0" fontId="34" fillId="0" borderId="60" xfId="56" applyFont="1" applyBorder="1" applyAlignment="1">
      <alignment wrapText="1"/>
    </xf>
    <xf numFmtId="174" fontId="29" fillId="0" borderId="3" xfId="28" applyFont="1" applyBorder="1" applyAlignment="1">
      <alignment vertical="center" wrapText="1"/>
    </xf>
    <xf numFmtId="174" fontId="33" fillId="0" borderId="3" xfId="28" applyBorder="1">
      <alignment vertical="center" wrapText="1"/>
    </xf>
    <xf numFmtId="0" fontId="0" fillId="0" borderId="17" xfId="0" applyBorder="1" applyAlignment="1"/>
    <xf numFmtId="0" fontId="0" fillId="0" borderId="18" xfId="0" applyBorder="1" applyAlignment="1"/>
    <xf numFmtId="0" fontId="0" fillId="0" borderId="19" xfId="0" applyBorder="1" applyAlignment="1"/>
    <xf numFmtId="0" fontId="12" fillId="0" borderId="0" xfId="0" applyFont="1" applyBorder="1" applyAlignment="1"/>
    <xf numFmtId="0" fontId="0" fillId="0" borderId="0" xfId="0" applyBorder="1" applyAlignment="1"/>
    <xf numFmtId="0" fontId="26" fillId="0" borderId="0" xfId="8" applyBorder="1" applyAlignment="1"/>
    <xf numFmtId="0" fontId="26" fillId="0" borderId="0" xfId="8" applyAlignment="1"/>
    <xf numFmtId="0" fontId="11" fillId="0" borderId="26" xfId="0" applyFont="1" applyBorder="1" applyAlignment="1"/>
    <xf numFmtId="0" fontId="11" fillId="0" borderId="4" xfId="0" applyFont="1" applyBorder="1" applyAlignment="1"/>
    <xf numFmtId="0" fontId="11" fillId="0" borderId="21" xfId="0" applyFont="1" applyBorder="1" applyAlignment="1"/>
    <xf numFmtId="0" fontId="11" fillId="0" borderId="0" xfId="0" applyFont="1" applyBorder="1" applyAlignment="1"/>
    <xf numFmtId="0" fontId="0" fillId="0" borderId="21" xfId="0" applyBorder="1" applyAlignment="1"/>
    <xf numFmtId="176" fontId="0" fillId="0" borderId="0" xfId="0" applyNumberFormat="1" applyAlignment="1"/>
    <xf numFmtId="0" fontId="34" fillId="0" borderId="3" xfId="9" applyFont="1" applyBorder="1" applyAlignment="1"/>
    <xf numFmtId="0" fontId="34" fillId="0" borderId="3" xfId="30" applyFont="1" applyFill="1" applyBorder="1" applyAlignment="1"/>
    <xf numFmtId="1" fontId="34" fillId="0" borderId="3" xfId="9" applyNumberFormat="1" applyFont="1" applyFill="1" applyBorder="1" applyAlignment="1"/>
    <xf numFmtId="0" fontId="0" fillId="0" borderId="0" xfId="0" applyFont="1" applyBorder="1" applyAlignment="1"/>
    <xf numFmtId="0" fontId="0" fillId="0" borderId="20" xfId="0" applyFont="1" applyBorder="1" applyAlignment="1"/>
    <xf numFmtId="0" fontId="0" fillId="0" borderId="0" xfId="0" applyFont="1" applyAlignment="1"/>
    <xf numFmtId="176" fontId="0" fillId="0" borderId="0" xfId="0" applyNumberFormat="1" applyFont="1" applyAlignment="1"/>
    <xf numFmtId="0" fontId="0" fillId="0" borderId="23" xfId="0" applyBorder="1" applyAlignment="1"/>
    <xf numFmtId="0" fontId="0" fillId="0" borderId="24" xfId="0" applyBorder="1" applyAlignment="1"/>
    <xf numFmtId="0" fontId="0" fillId="0" borderId="25" xfId="0" applyBorder="1" applyAlignment="1"/>
    <xf numFmtId="165" fontId="12" fillId="0" borderId="83" xfId="7" applyNumberFormat="1" applyFont="1" applyBorder="1" applyAlignment="1" applyProtection="1"/>
    <xf numFmtId="0" fontId="29" fillId="0" borderId="81" xfId="31" applyFont="1" applyFill="1" applyBorder="1"/>
    <xf numFmtId="4" fontId="29" fillId="0" borderId="81" xfId="31" applyNumberFormat="1" applyFont="1" applyFill="1" applyBorder="1"/>
    <xf numFmtId="39" fontId="29" fillId="0" borderId="81" xfId="29" applyNumberFormat="1" applyFont="1" applyFill="1" applyBorder="1" applyAlignment="1" applyProtection="1"/>
    <xf numFmtId="0" fontId="38" fillId="0" borderId="81" xfId="31" applyFont="1" applyFill="1" applyBorder="1"/>
    <xf numFmtId="0" fontId="29" fillId="0" borderId="81" xfId="31" applyNumberFormat="1" applyFont="1" applyFill="1" applyBorder="1"/>
    <xf numFmtId="37" fontId="29" fillId="0" borderId="81" xfId="29" applyNumberFormat="1" applyFont="1" applyFill="1" applyBorder="1" applyAlignment="1" applyProtection="1"/>
    <xf numFmtId="165" fontId="29" fillId="0" borderId="81" xfId="29" applyFont="1" applyFill="1" applyBorder="1" applyAlignment="1" applyProtection="1"/>
    <xf numFmtId="2" fontId="29" fillId="0" borderId="81" xfId="31" applyNumberFormat="1" applyFont="1" applyFill="1" applyBorder="1"/>
    <xf numFmtId="0" fontId="11" fillId="7" borderId="36" xfId="0" applyFont="1" applyFill="1" applyBorder="1" applyAlignment="1">
      <alignment horizontal="right"/>
    </xf>
    <xf numFmtId="165" fontId="11" fillId="7" borderId="81" xfId="0" applyNumberFormat="1" applyFont="1" applyFill="1" applyBorder="1"/>
    <xf numFmtId="0" fontId="29" fillId="0" borderId="3" xfId="9" applyFont="1" applyFill="1" applyBorder="1" applyAlignment="1"/>
    <xf numFmtId="0" fontId="29" fillId="0" borderId="3" xfId="30" applyFont="1" applyFill="1" applyBorder="1" applyAlignment="1"/>
    <xf numFmtId="0" fontId="29" fillId="0" borderId="3" xfId="9" applyNumberFormat="1" applyFont="1" applyFill="1" applyBorder="1" applyAlignment="1"/>
    <xf numFmtId="170" fontId="29" fillId="0" borderId="3" xfId="3" applyFont="1" applyFill="1" applyBorder="1" applyAlignment="1"/>
    <xf numFmtId="0" fontId="28" fillId="0" borderId="0" xfId="9" applyBorder="1" applyAlignment="1"/>
    <xf numFmtId="0" fontId="28" fillId="0" borderId="20" xfId="9" applyBorder="1" applyAlignment="1"/>
    <xf numFmtId="0" fontId="28" fillId="0" borderId="0" xfId="9" applyAlignment="1"/>
    <xf numFmtId="0" fontId="39" fillId="8" borderId="31" xfId="0" applyFont="1" applyFill="1" applyBorder="1"/>
    <xf numFmtId="0" fontId="34" fillId="0" borderId="32" xfId="7" applyNumberFormat="1" applyFont="1" applyBorder="1" applyAlignment="1" applyProtection="1"/>
    <xf numFmtId="0" fontId="34" fillId="0" borderId="32" xfId="0" applyFont="1" applyBorder="1"/>
    <xf numFmtId="0" fontId="11" fillId="8" borderId="84" xfId="0" applyFont="1" applyFill="1" applyBorder="1"/>
    <xf numFmtId="0" fontId="12" fillId="0" borderId="32" xfId="0" applyFont="1" applyBorder="1"/>
    <xf numFmtId="0" fontId="12" fillId="0" borderId="67" xfId="0" applyFont="1" applyBorder="1" applyAlignment="1">
      <alignment wrapText="1"/>
    </xf>
    <xf numFmtId="194" fontId="12" fillId="0" borderId="3" xfId="7" applyNumberFormat="1" applyFont="1" applyBorder="1" applyAlignment="1" applyProtection="1">
      <alignment wrapText="1"/>
    </xf>
  </cellXfs>
  <cellStyles count="65">
    <cellStyle name="Comma 2" xfId="5" xr:uid="{00000000-0005-0000-0000-000000000000}"/>
    <cellStyle name="Cost Table Plain" xfId="10" xr:uid="{00000000-0005-0000-0000-000001000000}"/>
    <cellStyle name="Cost_Green" xfId="4" xr:uid="{00000000-0005-0000-0000-000002000000}"/>
    <cellStyle name="Cost_Red" xfId="43" xr:uid="{00000000-0005-0000-0000-000003000000}"/>
    <cellStyle name="Cost_Yellow" xfId="11" xr:uid="{00000000-0005-0000-0000-000004000000}"/>
    <cellStyle name="Currency 2" xfId="2" xr:uid="{00000000-0005-0000-0000-000005000000}"/>
    <cellStyle name="Currency 2 2" xfId="12" xr:uid="{00000000-0005-0000-0000-000006000000}"/>
    <cellStyle name="Good 2" xfId="13" xr:uid="{00000000-0005-0000-0000-000007000000}"/>
    <cellStyle name="Lien hypertexte" xfId="8" builtinId="8"/>
    <cellStyle name="Lien hypertexte 2" xfId="54" xr:uid="{00000000-0005-0000-0000-000009000000}"/>
    <cellStyle name="Milliers" xfId="50" builtinId="3"/>
    <cellStyle name="Milliers 2" xfId="35" xr:uid="{00000000-0005-0000-0000-00000B000000}"/>
    <cellStyle name="Milliers 2 2" xfId="41" xr:uid="{00000000-0005-0000-0000-00000C000000}"/>
    <cellStyle name="Milliers 3" xfId="37" xr:uid="{00000000-0005-0000-0000-00000D000000}"/>
    <cellStyle name="Milliers 3 2" xfId="45" xr:uid="{00000000-0005-0000-0000-00000E000000}"/>
    <cellStyle name="Milliers 3 4" xfId="57" xr:uid="{00000000-0005-0000-0000-00000F000000}"/>
    <cellStyle name="Milliers 4" xfId="60" xr:uid="{00000000-0005-0000-0000-000010000000}"/>
    <cellStyle name="Monétaire" xfId="61" builtinId="4"/>
    <cellStyle name="Monétaire 10" xfId="36" xr:uid="{00000000-0005-0000-0000-000012000000}"/>
    <cellStyle name="Monétaire 10 2" xfId="29" xr:uid="{00000000-0005-0000-0000-000013000000}"/>
    <cellStyle name="Monétaire 2" xfId="3" xr:uid="{00000000-0005-0000-0000-000014000000}"/>
    <cellStyle name="Monétaire 3" xfId="14" xr:uid="{00000000-0005-0000-0000-000015000000}"/>
    <cellStyle name="Monétaire 4" xfId="40" xr:uid="{00000000-0005-0000-0000-000016000000}"/>
    <cellStyle name="Monétaire 4 3" xfId="44" xr:uid="{00000000-0005-0000-0000-000017000000}"/>
    <cellStyle name="Normal" xfId="0" builtinId="0"/>
    <cellStyle name="Normal 2" xfId="1" xr:uid="{00000000-0005-0000-0000-000019000000}"/>
    <cellStyle name="Normal 2 2" xfId="15" xr:uid="{00000000-0005-0000-0000-00001A000000}"/>
    <cellStyle name="Normal 2 2 2" xfId="16" xr:uid="{00000000-0005-0000-0000-00001B000000}"/>
    <cellStyle name="Normal 2 2 2 2" xfId="17" xr:uid="{00000000-0005-0000-0000-00001C000000}"/>
    <cellStyle name="Normal 2 2 2 2 2" xfId="18" xr:uid="{00000000-0005-0000-0000-00001D000000}"/>
    <cellStyle name="Normal 2 2 2 3" xfId="19" xr:uid="{00000000-0005-0000-0000-00001E000000}"/>
    <cellStyle name="Normal 2 2 3" xfId="20" xr:uid="{00000000-0005-0000-0000-00001F000000}"/>
    <cellStyle name="Normal 2 2 4" xfId="21" xr:uid="{00000000-0005-0000-0000-000020000000}"/>
    <cellStyle name="Normal 2 2 4 2" xfId="22" xr:uid="{00000000-0005-0000-0000-000021000000}"/>
    <cellStyle name="Normal 2 2 4 2 2" xfId="55" xr:uid="{00000000-0005-0000-0000-000022000000}"/>
    <cellStyle name="Normal 2 2 4 2 3" xfId="62" xr:uid="{00000000-0005-0000-0000-000023000000}"/>
    <cellStyle name="Normal 2 2 4 3" xfId="49" xr:uid="{00000000-0005-0000-0000-000024000000}"/>
    <cellStyle name="Normal 2 2 4 3 2" xfId="56" xr:uid="{00000000-0005-0000-0000-000025000000}"/>
    <cellStyle name="Normal 2 2 4 3 3" xfId="63" xr:uid="{00000000-0005-0000-0000-000026000000}"/>
    <cellStyle name="Normal 2 2 4 4" xfId="53" xr:uid="{00000000-0005-0000-0000-000027000000}"/>
    <cellStyle name="Normal 2 3" xfId="23" xr:uid="{00000000-0005-0000-0000-000028000000}"/>
    <cellStyle name="Normal 2 4" xfId="24" xr:uid="{00000000-0005-0000-0000-000029000000}"/>
    <cellStyle name="Normal 2 5" xfId="33" xr:uid="{00000000-0005-0000-0000-00002A000000}"/>
    <cellStyle name="Normal 3" xfId="6" xr:uid="{00000000-0005-0000-0000-00002B000000}"/>
    <cellStyle name="Normal 3 2" xfId="26" xr:uid="{00000000-0005-0000-0000-00002C000000}"/>
    <cellStyle name="Normal 3 2 2" xfId="58" xr:uid="{00000000-0005-0000-0000-00002D000000}"/>
    <cellStyle name="Normal 3 3" xfId="25" xr:uid="{00000000-0005-0000-0000-00002E000000}"/>
    <cellStyle name="Normal 3 4" xfId="31" xr:uid="{00000000-0005-0000-0000-00002F000000}"/>
    <cellStyle name="Normal 3 5" xfId="32" xr:uid="{00000000-0005-0000-0000-000030000000}"/>
    <cellStyle name="Normal 3 6" xfId="34" xr:uid="{00000000-0005-0000-0000-000031000000}"/>
    <cellStyle name="Normal 3 7" xfId="48" xr:uid="{00000000-0005-0000-0000-000032000000}"/>
    <cellStyle name="Normal 3 8" xfId="51" xr:uid="{00000000-0005-0000-0000-000033000000}"/>
    <cellStyle name="Normal 4" xfId="9" xr:uid="{00000000-0005-0000-0000-000034000000}"/>
    <cellStyle name="Normal 4 2" xfId="42" xr:uid="{00000000-0005-0000-0000-000035000000}"/>
    <cellStyle name="Normal 5" xfId="27" xr:uid="{00000000-0005-0000-0000-000036000000}"/>
    <cellStyle name="Normal 5 2" xfId="39" xr:uid="{00000000-0005-0000-0000-000037000000}"/>
    <cellStyle name="Normal 5 3" xfId="46" xr:uid="{00000000-0005-0000-0000-000038000000}"/>
    <cellStyle name="Normal 5 4" xfId="52" xr:uid="{00000000-0005-0000-0000-000039000000}"/>
    <cellStyle name="Normal 7" xfId="38" xr:uid="{00000000-0005-0000-0000-00003A000000}"/>
    <cellStyle name="Normal 7 2" xfId="47" xr:uid="{00000000-0005-0000-0000-00003B000000}"/>
    <cellStyle name="Normal 7 3" xfId="59" xr:uid="{00000000-0005-0000-0000-00003C000000}"/>
    <cellStyle name="Normal 7 4" xfId="64" xr:uid="{00000000-0005-0000-0000-00003D000000}"/>
    <cellStyle name="Normal_Sheet1" xfId="30" xr:uid="{00000000-0005-0000-0000-00003E000000}"/>
    <cellStyle name="Style 1" xfId="28" xr:uid="{00000000-0005-0000-0000-00003F000000}"/>
    <cellStyle name="TableStyleLight1" xfId="7" xr:uid="{00000000-0005-0000-0000-000040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externalLink" Target="externalLinks/externalLink1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40" Type="http://schemas.openxmlformats.org/officeDocument/2006/relationships/worksheet" Target="worksheets/sheet140.xml"/><Relationship Id="rId145" Type="http://schemas.openxmlformats.org/officeDocument/2006/relationships/externalLink" Target="externalLinks/externalLink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43" Type="http://schemas.openxmlformats.org/officeDocument/2006/relationships/worksheet" Target="worksheets/sheet143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14</xdr:col>
      <xdr:colOff>179917</xdr:colOff>
      <xdr:row>50</xdr:row>
      <xdr:rowOff>22200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285257" y="5650566"/>
          <a:ext cx="3150410" cy="42776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74440</xdr:colOff>
      <xdr:row>28</xdr:row>
      <xdr:rowOff>1</xdr:rowOff>
    </xdr:from>
    <xdr:to>
      <xdr:col>14</xdr:col>
      <xdr:colOff>291730</xdr:colOff>
      <xdr:row>51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8721" y="5524501"/>
          <a:ext cx="3420072" cy="463867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118907</xdr:colOff>
      <xdr:row>12</xdr:row>
      <xdr:rowOff>134787</xdr:rowOff>
    </xdr:from>
    <xdr:to>
      <xdr:col>14</xdr:col>
      <xdr:colOff>112371</xdr:colOff>
      <xdr:row>20</xdr:row>
      <xdr:rowOff>179717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40959" y="2426179"/>
          <a:ext cx="3273299" cy="230936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136366</xdr:colOff>
      <xdr:row>11</xdr:row>
      <xdr:rowOff>53675</xdr:rowOff>
    </xdr:from>
    <xdr:to>
      <xdr:col>11</xdr:col>
      <xdr:colOff>636758</xdr:colOff>
      <xdr:row>21</xdr:row>
      <xdr:rowOff>136071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13866" y="2149175"/>
          <a:ext cx="2024392" cy="21370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19</xdr:row>
      <xdr:rowOff>172527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3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13</xdr:col>
      <xdr:colOff>616324</xdr:colOff>
      <xdr:row>21</xdr:row>
      <xdr:rowOff>152979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758892" y="2442883"/>
          <a:ext cx="2831167" cy="1721802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18</xdr:row>
      <xdr:rowOff>359613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4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5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129698</xdr:colOff>
      <xdr:row>12</xdr:row>
      <xdr:rowOff>51621</xdr:rowOff>
    </xdr:from>
    <xdr:to>
      <xdr:col>12</xdr:col>
      <xdr:colOff>178594</xdr:colOff>
      <xdr:row>17</xdr:row>
      <xdr:rowOff>180266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1478151" y="2383449"/>
          <a:ext cx="1271645" cy="194199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6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7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490328</xdr:colOff>
      <xdr:row>12</xdr:row>
      <xdr:rowOff>99391</xdr:rowOff>
    </xdr:from>
    <xdr:to>
      <xdr:col>12</xdr:col>
      <xdr:colOff>191042</xdr:colOff>
      <xdr:row>23</xdr:row>
      <xdr:rowOff>69273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29328" y="2385391"/>
          <a:ext cx="1519123" cy="206538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234839</xdr:colOff>
      <xdr:row>17</xdr:row>
      <xdr:rowOff>97217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653143</xdr:colOff>
      <xdr:row>16</xdr:row>
      <xdr:rowOff>32657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525308</xdr:colOff>
      <xdr:row>14</xdr:row>
      <xdr:rowOff>276713</xdr:rowOff>
    </xdr:from>
    <xdr:to>
      <xdr:col>13</xdr:col>
      <xdr:colOff>647699</xdr:colOff>
      <xdr:row>26</xdr:row>
      <xdr:rowOff>159027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50058" y="2943713"/>
          <a:ext cx="2560791" cy="4454314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482545</xdr:colOff>
      <xdr:row>12</xdr:row>
      <xdr:rowOff>66578</xdr:rowOff>
    </xdr:from>
    <xdr:to>
      <xdr:col>12</xdr:col>
      <xdr:colOff>233782</xdr:colOff>
      <xdr:row>18</xdr:row>
      <xdr:rowOff>171449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40495" y="2352578"/>
          <a:ext cx="1580037" cy="1628871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313267</xdr:colOff>
      <xdr:row>17</xdr:row>
      <xdr:rowOff>139181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751114</xdr:colOff>
      <xdr:row>11</xdr:row>
      <xdr:rowOff>65316</xdr:rowOff>
    </xdr:from>
    <xdr:to>
      <xdr:col>11</xdr:col>
      <xdr:colOff>370114</xdr:colOff>
      <xdr:row>16</xdr:row>
      <xdr:rowOff>83458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8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13804174" y="2084616"/>
          <a:ext cx="1341120" cy="9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515983</xdr:colOff>
      <xdr:row>12</xdr:row>
      <xdr:rowOff>145869</xdr:rowOff>
    </xdr:from>
    <xdr:to>
      <xdr:col>12</xdr:col>
      <xdr:colOff>264768</xdr:colOff>
      <xdr:row>17</xdr:row>
      <xdr:rowOff>141514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4723" y="2363289"/>
          <a:ext cx="2255765" cy="128451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</xdr:colOff>
      <xdr:row>1</xdr:row>
      <xdr:rowOff>91440</xdr:rowOff>
    </xdr:from>
    <xdr:to>
      <xdr:col>9</xdr:col>
      <xdr:colOff>551717</xdr:colOff>
      <xdr:row>31</xdr:row>
      <xdr:rowOff>15240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" y="274320"/>
          <a:ext cx="7630697" cy="54102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587828</xdr:colOff>
      <xdr:row>11</xdr:row>
      <xdr:rowOff>97970</xdr:rowOff>
    </xdr:from>
    <xdr:to>
      <xdr:col>11</xdr:col>
      <xdr:colOff>108857</xdr:colOff>
      <xdr:row>17</xdr:row>
      <xdr:rowOff>150635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88388" y="2109650"/>
          <a:ext cx="1105989" cy="114994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</xdr:row>
      <xdr:rowOff>68580</xdr:rowOff>
    </xdr:from>
    <xdr:to>
      <xdr:col>8</xdr:col>
      <xdr:colOff>530068</xdr:colOff>
      <xdr:row>27</xdr:row>
      <xdr:rowOff>76200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780" y="251460"/>
          <a:ext cx="6725128" cy="47625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732608</xdr:colOff>
      <xdr:row>11</xdr:row>
      <xdr:rowOff>136070</xdr:rowOff>
    </xdr:from>
    <xdr:to>
      <xdr:col>11</xdr:col>
      <xdr:colOff>312420</xdr:colOff>
      <xdr:row>17</xdr:row>
      <xdr:rowOff>66974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4628" y="2330630"/>
          <a:ext cx="1164772" cy="121106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45720</xdr:rowOff>
    </xdr:from>
    <xdr:to>
      <xdr:col>9</xdr:col>
      <xdr:colOff>150685</xdr:colOff>
      <xdr:row>29</xdr:row>
      <xdr:rowOff>22860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1" y="228600"/>
          <a:ext cx="7206804" cy="509778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224245</xdr:colOff>
      <xdr:row>11</xdr:row>
      <xdr:rowOff>143692</xdr:rowOff>
    </xdr:from>
    <xdr:to>
      <xdr:col>11</xdr:col>
      <xdr:colOff>662742</xdr:colOff>
      <xdr:row>19</xdr:row>
      <xdr:rowOff>163286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3302" y="2190206"/>
          <a:ext cx="2158440" cy="1500051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1</xdr:row>
      <xdr:rowOff>99061</xdr:rowOff>
    </xdr:from>
    <xdr:to>
      <xdr:col>9</xdr:col>
      <xdr:colOff>706603</xdr:colOff>
      <xdr:row>31</xdr:row>
      <xdr:rowOff>76200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304800</xdr:colOff>
      <xdr:row>11</xdr:row>
      <xdr:rowOff>87085</xdr:rowOff>
    </xdr:from>
    <xdr:to>
      <xdr:col>11</xdr:col>
      <xdr:colOff>511629</xdr:colOff>
      <xdr:row>17</xdr:row>
      <xdr:rowOff>25730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87600" y="2122714"/>
          <a:ext cx="1001486" cy="1048987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45720</xdr:rowOff>
    </xdr:from>
    <xdr:to>
      <xdr:col>9</xdr:col>
      <xdr:colOff>637554</xdr:colOff>
      <xdr:row>30</xdr:row>
      <xdr:rowOff>114300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rthur/Documents/Cours%20ECL/EPSA/Vulcanix-v1.0/SU%20-%20Suspension/Cost/SU_A130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4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O238"/>
  <sheetViews>
    <sheetView zoomScale="70" zoomScaleNormal="70" zoomScalePageLayoutView="50" workbookViewId="0">
      <selection activeCell="F7" sqref="F7"/>
    </sheetView>
  </sheetViews>
  <sheetFormatPr baseColWidth="10" defaultColWidth="9.140625" defaultRowHeight="12.75" x14ac:dyDescent="0.2"/>
  <cols>
    <col min="1" max="1" width="17.42578125" style="9" bestFit="1" customWidth="1"/>
    <col min="2" max="2" width="28.7109375" style="13" bestFit="1" customWidth="1"/>
    <col min="3" max="3" width="13.5703125" style="9" customWidth="1"/>
    <col min="4" max="4" width="10" style="9" bestFit="1" customWidth="1"/>
    <col min="5" max="5" width="23" style="9" customWidth="1"/>
    <col min="6" max="6" width="42.42578125" style="42" customWidth="1"/>
    <col min="7" max="7" width="14" style="9" customWidth="1"/>
    <col min="8" max="8" width="11" style="9" bestFit="1" customWidth="1"/>
    <col min="9" max="9" width="10.42578125" style="6" customWidth="1"/>
    <col min="10" max="10" width="11.85546875" style="6" customWidth="1"/>
    <col min="11" max="13" width="10.42578125" style="6" customWidth="1"/>
    <col min="14" max="14" width="12.28515625" style="9" customWidth="1"/>
    <col min="15" max="15" width="11.140625" style="13" customWidth="1"/>
    <col min="16" max="16384" width="9.140625" style="13"/>
  </cols>
  <sheetData>
    <row r="1" spans="1:15" ht="15.75" thickBot="1" x14ac:dyDescent="0.3">
      <c r="A1" s="52" t="s">
        <v>0</v>
      </c>
      <c r="B1" s="91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.75" thickBot="1" x14ac:dyDescent="0.3">
      <c r="A2" s="50" t="s">
        <v>42</v>
      </c>
      <c r="B2" s="90" t="s">
        <v>61</v>
      </c>
      <c r="C2" s="14"/>
      <c r="F2" s="38"/>
    </row>
    <row r="3" spans="1:15" s="15" customFormat="1" ht="16.5" thickTop="1" thickBot="1" x14ac:dyDescent="0.3">
      <c r="A3" s="51" t="s">
        <v>43</v>
      </c>
      <c r="B3" s="53">
        <v>2018</v>
      </c>
      <c r="C3" s="14"/>
      <c r="F3" s="38"/>
    </row>
    <row r="4" spans="1:15" s="15" customFormat="1" ht="16.5" thickTop="1" thickBot="1" x14ac:dyDescent="0.3">
      <c r="A4" s="49" t="s">
        <v>1</v>
      </c>
      <c r="B4" s="89">
        <v>81</v>
      </c>
      <c r="C4" s="14"/>
      <c r="D4" s="43" t="s">
        <v>44</v>
      </c>
      <c r="F4" s="38"/>
    </row>
    <row r="5" spans="1:15" s="36" customFormat="1" ht="15.75" thickTop="1" x14ac:dyDescent="0.25">
      <c r="A5" s="35"/>
      <c r="B5" s="39"/>
      <c r="C5" s="37"/>
      <c r="F5" s="40"/>
    </row>
    <row r="6" spans="1:15" s="34" customFormat="1" ht="49.1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5" x14ac:dyDescent="0.25">
      <c r="A7" s="109"/>
      <c r="B7" s="110" t="s">
        <v>63</v>
      </c>
      <c r="C7" s="111" t="str">
        <f>SU_A0100</f>
        <v>SU A0100</v>
      </c>
      <c r="D7" s="111" t="s">
        <v>11</v>
      </c>
      <c r="E7" s="111"/>
      <c r="F7" s="136" t="str">
        <f>'SU A0100'!B4</f>
        <v>Upper Front A-arm</v>
      </c>
      <c r="G7" s="111"/>
      <c r="H7" s="112">
        <f t="shared" ref="H7:H14" si="0">SUM(J7:M7)</f>
        <v>38.579540947087935</v>
      </c>
      <c r="I7" s="143">
        <f>SU_A0100_q</f>
        <v>2</v>
      </c>
      <c r="J7" s="113">
        <f>SU_A0100_m</f>
        <v>20.759999999999998</v>
      </c>
      <c r="K7" s="113">
        <f>SU_A0100_p</f>
        <v>16.033700000000003</v>
      </c>
      <c r="L7" s="113">
        <f>SU_A0100_f</f>
        <v>0.45250761375459631</v>
      </c>
      <c r="M7" s="113">
        <f>SU_A0100_t</f>
        <v>1.3333333333333333</v>
      </c>
      <c r="N7" s="114">
        <f t="shared" ref="N7:N14" si="1">H7*I7</f>
        <v>77.15908189417587</v>
      </c>
      <c r="O7" s="115"/>
    </row>
    <row r="8" spans="1:15" ht="15" x14ac:dyDescent="0.25">
      <c r="A8" s="116"/>
      <c r="B8" s="116" t="s">
        <v>63</v>
      </c>
      <c r="C8" s="117" t="str">
        <f>SU_01001</f>
        <v>SU_01001</v>
      </c>
      <c r="D8" s="117" t="s">
        <v>11</v>
      </c>
      <c r="E8" s="117" t="str">
        <f>$F$7</f>
        <v>Upper Front A-arm</v>
      </c>
      <c r="F8" s="118" t="str">
        <f>'SU 01001'!B5</f>
        <v>Upper Front Bearing Support</v>
      </c>
      <c r="G8" s="117"/>
      <c r="H8" s="119">
        <f t="shared" si="0"/>
        <v>15.090551905600002</v>
      </c>
      <c r="I8" s="123">
        <f>SU_A0100_q*SU_01001_q</f>
        <v>2</v>
      </c>
      <c r="J8" s="120">
        <f>SU_01001_m</f>
        <v>2.6965519055999998</v>
      </c>
      <c r="K8" s="120">
        <f>SU_01001_p</f>
        <v>12.394000000000002</v>
      </c>
      <c r="L8" s="120">
        <v>0</v>
      </c>
      <c r="M8" s="120">
        <v>0</v>
      </c>
      <c r="N8" s="121">
        <f t="shared" si="1"/>
        <v>30.181103811200003</v>
      </c>
      <c r="O8" s="122"/>
    </row>
    <row r="9" spans="1:15" ht="15" x14ac:dyDescent="0.25">
      <c r="A9" s="116"/>
      <c r="B9" s="116" t="s">
        <v>63</v>
      </c>
      <c r="C9" s="117" t="str">
        <f>SU_01002</f>
        <v>SU_01002</v>
      </c>
      <c r="D9" s="117" t="s">
        <v>11</v>
      </c>
      <c r="E9" s="117" t="str">
        <f t="shared" ref="E9:E18" si="2">$F$7</f>
        <v>Upper Front A-arm</v>
      </c>
      <c r="F9" s="118" t="str">
        <f>'SU 01002'!B5</f>
        <v>Inner Bearing Support</v>
      </c>
      <c r="G9" s="117"/>
      <c r="H9" s="119">
        <f t="shared" si="0"/>
        <v>1.8728805440000003</v>
      </c>
      <c r="I9" s="123">
        <f>SU_A0100_q*SU_01002_q</f>
        <v>4</v>
      </c>
      <c r="J9" s="120">
        <f>SU_01002_m</f>
        <v>0.85838054400000008</v>
      </c>
      <c r="K9" s="120">
        <f>SU_01002_p</f>
        <v>1.0145000000000002</v>
      </c>
      <c r="L9" s="120">
        <v>0</v>
      </c>
      <c r="M9" s="120">
        <v>0</v>
      </c>
      <c r="N9" s="121">
        <f t="shared" si="1"/>
        <v>7.491522176000001</v>
      </c>
      <c r="O9" s="122"/>
    </row>
    <row r="10" spans="1:15" ht="15" x14ac:dyDescent="0.25">
      <c r="A10" s="116"/>
      <c r="B10" s="116" t="s">
        <v>63</v>
      </c>
      <c r="C10" s="117" t="str">
        <f>SU_01003</f>
        <v>SU_01003</v>
      </c>
      <c r="D10" s="117" t="s">
        <v>11</v>
      </c>
      <c r="E10" s="117" t="str">
        <f t="shared" si="2"/>
        <v>Upper Front A-arm</v>
      </c>
      <c r="F10" s="118" t="str">
        <f>'SU 01003'!B5</f>
        <v>Upper Front A-arm tube (Front)  Carbon Fiber Tube</v>
      </c>
      <c r="G10" s="117"/>
      <c r="H10" s="119">
        <f t="shared" si="0"/>
        <v>8.8765790399999975</v>
      </c>
      <c r="I10" s="123">
        <f>SU_A0100_q*SU_01003_q</f>
        <v>2</v>
      </c>
      <c r="J10" s="120">
        <f>SU_01003_m</f>
        <v>7.8902924799999985</v>
      </c>
      <c r="K10" s="120">
        <f>SU_01003_p</f>
        <v>0.98628655999999981</v>
      </c>
      <c r="L10" s="120">
        <v>0</v>
      </c>
      <c r="M10" s="120">
        <v>0</v>
      </c>
      <c r="N10" s="121">
        <f t="shared" si="1"/>
        <v>17.753158079999995</v>
      </c>
      <c r="O10" s="122"/>
    </row>
    <row r="11" spans="1:15" ht="15" x14ac:dyDescent="0.25">
      <c r="A11" s="116"/>
      <c r="B11" s="116" t="s">
        <v>63</v>
      </c>
      <c r="C11" s="117" t="str">
        <f>SU_01004</f>
        <v>SU_01004</v>
      </c>
      <c r="D11" s="117" t="s">
        <v>11</v>
      </c>
      <c r="E11" s="117" t="str">
        <f t="shared" si="2"/>
        <v>Upper Front A-arm</v>
      </c>
      <c r="F11" s="118" t="str">
        <f>'SU 01004'!B5</f>
        <v>Upper Front A-arm tube (Back)  Carbon Fiber Tube</v>
      </c>
      <c r="G11" s="117"/>
      <c r="H11" s="119">
        <f t="shared" si="0"/>
        <v>7.1887787999999988</v>
      </c>
      <c r="I11" s="123">
        <f>SU_A0100_q*SU_01004_q</f>
        <v>2</v>
      </c>
      <c r="J11" s="120">
        <f>SU_01004_m</f>
        <v>6.3900255999999986</v>
      </c>
      <c r="K11" s="120">
        <f>SU_01004_p</f>
        <v>0.79875319999999983</v>
      </c>
      <c r="L11" s="120">
        <v>0</v>
      </c>
      <c r="M11" s="120">
        <v>0</v>
      </c>
      <c r="N11" s="121">
        <f t="shared" si="1"/>
        <v>14.377557599999998</v>
      </c>
      <c r="O11" s="122"/>
    </row>
    <row r="12" spans="1:15" ht="15" x14ac:dyDescent="0.25">
      <c r="A12" s="116"/>
      <c r="B12" s="116" t="s">
        <v>63</v>
      </c>
      <c r="C12" s="117" t="str">
        <f>SU_01005</f>
        <v>SU_01005</v>
      </c>
      <c r="D12" s="117" t="s">
        <v>11</v>
      </c>
      <c r="E12" s="117" t="str">
        <f t="shared" si="2"/>
        <v>Upper Front A-arm</v>
      </c>
      <c r="F12" s="118" t="str">
        <f>'SU 01005'!B5</f>
        <v>Spacer 1</v>
      </c>
      <c r="G12" s="117"/>
      <c r="H12" s="119">
        <f t="shared" si="0"/>
        <v>0.98904401600000003</v>
      </c>
      <c r="I12" s="123">
        <f>SU_A0100_q*SU_01005_q</f>
        <v>4</v>
      </c>
      <c r="J12" s="120">
        <f>SU_01005_m</f>
        <v>3.9044016000000001E-2</v>
      </c>
      <c r="K12" s="120">
        <f>SU_01005_p</f>
        <v>0.95000000000000007</v>
      </c>
      <c r="L12" s="120">
        <v>0</v>
      </c>
      <c r="M12" s="120">
        <v>0</v>
      </c>
      <c r="N12" s="121">
        <f t="shared" si="1"/>
        <v>3.9561760640000001</v>
      </c>
      <c r="O12" s="122"/>
    </row>
    <row r="13" spans="1:15" ht="15" x14ac:dyDescent="0.25">
      <c r="A13" s="116"/>
      <c r="B13" s="116" t="s">
        <v>63</v>
      </c>
      <c r="C13" s="117" t="str">
        <f>SU_01006</f>
        <v>SU_01006</v>
      </c>
      <c r="D13" s="117" t="s">
        <v>11</v>
      </c>
      <c r="E13" s="117" t="str">
        <f t="shared" si="2"/>
        <v>Upper Front A-arm</v>
      </c>
      <c r="F13" s="118" t="str">
        <f>'SU 01006'!B5</f>
        <v>Spacer 2</v>
      </c>
      <c r="G13" s="117"/>
      <c r="H13" s="119">
        <f t="shared" ref="H13" si="3">SUM(J13:M13)</f>
        <v>0.32421353411764708</v>
      </c>
      <c r="I13" s="123">
        <f>SU_A0100_q*SU_01006_q</f>
        <v>8</v>
      </c>
      <c r="J13" s="120">
        <f>SU_01006_m</f>
        <v>0.14197824000000003</v>
      </c>
      <c r="K13" s="120">
        <f>SU_01006_p</f>
        <v>0.18223529411764708</v>
      </c>
      <c r="L13" s="120">
        <v>0</v>
      </c>
      <c r="M13" s="120">
        <v>0</v>
      </c>
      <c r="N13" s="121">
        <f t="shared" ref="N13" si="4">H13*I13</f>
        <v>2.5937082729411767</v>
      </c>
      <c r="O13" s="122"/>
    </row>
    <row r="14" spans="1:15" ht="15" x14ac:dyDescent="0.25">
      <c r="A14" s="116"/>
      <c r="B14" s="116" t="s">
        <v>63</v>
      </c>
      <c r="C14" s="117" t="str">
        <f>SU_01007</f>
        <v>SU_01007</v>
      </c>
      <c r="D14" s="117" t="s">
        <v>11</v>
      </c>
      <c r="E14" s="117" t="str">
        <f t="shared" si="2"/>
        <v>Upper Front A-arm</v>
      </c>
      <c r="F14" s="118" t="str">
        <f>'SU 01007'!$B$5</f>
        <v>Outboard A-arm Insert</v>
      </c>
      <c r="G14" s="117"/>
      <c r="H14" s="119">
        <f t="shared" si="0"/>
        <v>0.47719727680000001</v>
      </c>
      <c r="I14" s="123">
        <f>SU_A0100_q*SU_01007_q</f>
        <v>4</v>
      </c>
      <c r="J14" s="120">
        <f>SU_01007_m</f>
        <v>7.7197276800000006E-2</v>
      </c>
      <c r="K14" s="120">
        <f>SU_01007_p</f>
        <v>0.4</v>
      </c>
      <c r="L14" s="120">
        <v>0</v>
      </c>
      <c r="M14" s="120">
        <v>0</v>
      </c>
      <c r="N14" s="121">
        <f t="shared" si="1"/>
        <v>1.9087891072000001</v>
      </c>
      <c r="O14" s="122"/>
    </row>
    <row r="15" spans="1:15" ht="15" x14ac:dyDescent="0.25">
      <c r="A15" s="116"/>
      <c r="B15" s="116" t="s">
        <v>63</v>
      </c>
      <c r="C15" s="117" t="str">
        <f>SU_01008</f>
        <v>SU_01008</v>
      </c>
      <c r="D15" s="117" t="s">
        <v>11</v>
      </c>
      <c r="E15" s="117" t="str">
        <f t="shared" si="2"/>
        <v>Upper Front A-arm</v>
      </c>
      <c r="F15" s="118" t="str">
        <f>'SU 01008'!$B$5</f>
        <v>Front up bracket</v>
      </c>
      <c r="G15" s="117"/>
      <c r="H15" s="119">
        <f t="shared" ref="H15:H18" si="5">SUM(J15:M15)</f>
        <v>1.3930602499999998</v>
      </c>
      <c r="I15" s="123">
        <f>SU_A0100_q*SU_01008_q</f>
        <v>2</v>
      </c>
      <c r="J15" s="120">
        <f>SU_01008_m</f>
        <v>0.14773825000000002</v>
      </c>
      <c r="K15" s="120">
        <f>SU_01008_p</f>
        <v>1.2453219999999998</v>
      </c>
      <c r="L15" s="120">
        <v>0</v>
      </c>
      <c r="M15" s="120">
        <v>0</v>
      </c>
      <c r="N15" s="121">
        <f t="shared" ref="N15:N18" si="6">H15*I15</f>
        <v>2.7861204999999996</v>
      </c>
      <c r="O15" s="122"/>
    </row>
    <row r="16" spans="1:15" ht="15" x14ac:dyDescent="0.25">
      <c r="A16" s="116"/>
      <c r="B16" s="116" t="s">
        <v>63</v>
      </c>
      <c r="C16" s="117" t="str">
        <f>SU_01009</f>
        <v>SU_01009</v>
      </c>
      <c r="D16" s="117" t="s">
        <v>11</v>
      </c>
      <c r="E16" s="117" t="str">
        <f t="shared" si="2"/>
        <v>Upper Front A-arm</v>
      </c>
      <c r="F16" s="118" t="str">
        <f>'SU 01009'!$B$5</f>
        <v>Front down bracket</v>
      </c>
      <c r="G16" s="117"/>
      <c r="H16" s="119">
        <f t="shared" si="5"/>
        <v>1.3590899374999998</v>
      </c>
      <c r="I16" s="123">
        <f>SU_A0100_q*SU_01009_q</f>
        <v>2</v>
      </c>
      <c r="J16" s="120">
        <f>SU_01009_m</f>
        <v>0.1450304375</v>
      </c>
      <c r="K16" s="120">
        <f>SU_01009_p</f>
        <v>1.2140594999999998</v>
      </c>
      <c r="L16" s="120">
        <v>0</v>
      </c>
      <c r="M16" s="120">
        <v>0</v>
      </c>
      <c r="N16" s="121">
        <f t="shared" si="6"/>
        <v>2.7181798749999997</v>
      </c>
      <c r="O16" s="122"/>
    </row>
    <row r="17" spans="1:15" ht="15" x14ac:dyDescent="0.25">
      <c r="A17" s="116"/>
      <c r="B17" s="116" t="s">
        <v>63</v>
      </c>
      <c r="C17" s="117" t="str">
        <f>SU_01010</f>
        <v>SU_01010</v>
      </c>
      <c r="D17" s="117" t="s">
        <v>11</v>
      </c>
      <c r="E17" s="117" t="str">
        <f t="shared" si="2"/>
        <v>Upper Front A-arm</v>
      </c>
      <c r="F17" s="118" t="str">
        <f>'SU 01010'!$B$5</f>
        <v>Rear up bracket</v>
      </c>
      <c r="G17" s="117"/>
      <c r="H17" s="119">
        <f t="shared" si="5"/>
        <v>1.3143274375</v>
      </c>
      <c r="I17" s="123">
        <f>SU_A0100_q*SU_01010_q</f>
        <v>2</v>
      </c>
      <c r="J17" s="120">
        <f>SU_01010_m</f>
        <v>0.1233679375</v>
      </c>
      <c r="K17" s="120">
        <f>SU_01010_p</f>
        <v>1.1909594999999999</v>
      </c>
      <c r="L17" s="120">
        <v>0</v>
      </c>
      <c r="M17" s="120">
        <v>0</v>
      </c>
      <c r="N17" s="121">
        <f t="shared" si="6"/>
        <v>2.6286548750000001</v>
      </c>
      <c r="O17" s="122"/>
    </row>
    <row r="18" spans="1:15" ht="15" x14ac:dyDescent="0.25">
      <c r="A18" s="116"/>
      <c r="B18" s="116" t="s">
        <v>63</v>
      </c>
      <c r="C18" s="117" t="str">
        <f>SU_01011</f>
        <v>SU_01011</v>
      </c>
      <c r="D18" s="117" t="s">
        <v>11</v>
      </c>
      <c r="E18" s="117" t="str">
        <f t="shared" si="2"/>
        <v>Upper Front A-arm</v>
      </c>
      <c r="F18" s="118" t="str">
        <f>'SU 01011'!$B$5</f>
        <v>Rear down bracket</v>
      </c>
      <c r="G18" s="117"/>
      <c r="H18" s="119">
        <f t="shared" si="5"/>
        <v>1.3278918750000002</v>
      </c>
      <c r="I18" s="123">
        <f>SU_A0100_q*SU_01011_q</f>
        <v>2</v>
      </c>
      <c r="J18" s="120">
        <f>SU_01011_m</f>
        <v>0.13755687500000002</v>
      </c>
      <c r="K18" s="120">
        <f>SU_01011_p</f>
        <v>1.1903350000000001</v>
      </c>
      <c r="L18" s="120">
        <v>0</v>
      </c>
      <c r="M18" s="120">
        <v>0</v>
      </c>
      <c r="N18" s="121">
        <f t="shared" si="6"/>
        <v>2.6557837500000003</v>
      </c>
      <c r="O18" s="122"/>
    </row>
    <row r="19" spans="1:15" ht="15" x14ac:dyDescent="0.25">
      <c r="A19" s="109"/>
      <c r="B19" s="110" t="s">
        <v>63</v>
      </c>
      <c r="C19" s="111" t="str">
        <f>SU_A0200</f>
        <v>SU A0200</v>
      </c>
      <c r="D19" s="111" t="s">
        <v>11</v>
      </c>
      <c r="E19" s="111"/>
      <c r="F19" s="136" t="str">
        <f>'SU A0200'!B4</f>
        <v>Lower Front A-arm</v>
      </c>
      <c r="G19" s="111"/>
      <c r="H19" s="112">
        <f t="shared" ref="H19:H26" si="7">SUM(J19:M19)</f>
        <v>38.579540947087935</v>
      </c>
      <c r="I19" s="143">
        <f>SU_A0200_q</f>
        <v>2</v>
      </c>
      <c r="J19" s="113">
        <f>SU_A0200_m</f>
        <v>20.759999999999998</v>
      </c>
      <c r="K19" s="113">
        <f>SU_A0200_p</f>
        <v>16.033700000000003</v>
      </c>
      <c r="L19" s="113">
        <f>SU_A0200_f</f>
        <v>0.45250761375459631</v>
      </c>
      <c r="M19" s="113">
        <f>SU_A0200_t</f>
        <v>1.3333333333333333</v>
      </c>
      <c r="N19" s="114">
        <f t="shared" ref="N19:N26" si="8">H19*I19</f>
        <v>77.15908189417587</v>
      </c>
      <c r="O19" s="115"/>
    </row>
    <row r="20" spans="1:15" ht="15" x14ac:dyDescent="0.25">
      <c r="A20" s="116"/>
      <c r="B20" s="116" t="s">
        <v>63</v>
      </c>
      <c r="C20" s="117" t="str">
        <f>SU_02001</f>
        <v>SU 02001</v>
      </c>
      <c r="D20" s="117" t="s">
        <v>11</v>
      </c>
      <c r="E20" s="117" t="str">
        <f>$F$19</f>
        <v>Lower Front A-arm</v>
      </c>
      <c r="F20" s="118" t="str">
        <f>'SU 02001'!B5</f>
        <v>Lower Front Bearing Support</v>
      </c>
      <c r="G20" s="117"/>
      <c r="H20" s="119">
        <f t="shared" si="7"/>
        <v>9.1140000000000008</v>
      </c>
      <c r="I20" s="123">
        <f>SU_A0200_q*SU_02001_q</f>
        <v>2</v>
      </c>
      <c r="J20" s="120">
        <f>SU_02001_m</f>
        <v>4.2</v>
      </c>
      <c r="K20" s="120">
        <f>SU_02001_p</f>
        <v>4.9140000000000006</v>
      </c>
      <c r="L20" s="120">
        <v>0</v>
      </c>
      <c r="M20" s="120">
        <v>0</v>
      </c>
      <c r="N20" s="121">
        <f t="shared" si="8"/>
        <v>18.228000000000002</v>
      </c>
      <c r="O20" s="122"/>
    </row>
    <row r="21" spans="1:15" ht="15" x14ac:dyDescent="0.25">
      <c r="A21" s="116"/>
      <c r="B21" s="116" t="s">
        <v>63</v>
      </c>
      <c r="C21" s="117" t="str">
        <f>SU_02002</f>
        <v>SU 02002</v>
      </c>
      <c r="D21" s="117" t="s">
        <v>11</v>
      </c>
      <c r="E21" s="117" t="str">
        <f t="shared" ref="E21:E30" si="9">$F$19</f>
        <v>Lower Front A-arm</v>
      </c>
      <c r="F21" s="118" t="str">
        <f>'SU 02002'!B5</f>
        <v>Inner Bearing Support</v>
      </c>
      <c r="G21" s="117"/>
      <c r="H21" s="119">
        <f t="shared" si="7"/>
        <v>1.8728805440000003</v>
      </c>
      <c r="I21" s="123">
        <f>SU_A0200_q*SU_02002_q</f>
        <v>4</v>
      </c>
      <c r="J21" s="120">
        <f>SU_02002_m</f>
        <v>0.85838054400000008</v>
      </c>
      <c r="K21" s="120">
        <f>SU_02002_p</f>
        <v>1.0145000000000002</v>
      </c>
      <c r="L21" s="120">
        <v>0</v>
      </c>
      <c r="M21" s="120">
        <v>0</v>
      </c>
      <c r="N21" s="121">
        <f t="shared" si="8"/>
        <v>7.491522176000001</v>
      </c>
      <c r="O21" s="122"/>
    </row>
    <row r="22" spans="1:15" ht="15" x14ac:dyDescent="0.25">
      <c r="A22" s="116"/>
      <c r="B22" s="116" t="s">
        <v>63</v>
      </c>
      <c r="C22" s="117" t="str">
        <f>SU_02003</f>
        <v>SU_02003</v>
      </c>
      <c r="D22" s="117" t="s">
        <v>11</v>
      </c>
      <c r="E22" s="117" t="str">
        <f t="shared" si="9"/>
        <v>Lower Front A-arm</v>
      </c>
      <c r="F22" s="118" t="str">
        <f>'SU 02003'!B5</f>
        <v>Lower Front A-arm tube (Front)  Carbon Fiber Tube</v>
      </c>
      <c r="G22" s="117"/>
      <c r="H22" s="119">
        <f t="shared" si="7"/>
        <v>11.220746039999998</v>
      </c>
      <c r="I22" s="123">
        <f>SU_A0200_q*SU_02003_q</f>
        <v>2</v>
      </c>
      <c r="J22" s="120">
        <f>SU_02003_m</f>
        <v>9.9739964799999985</v>
      </c>
      <c r="K22" s="120">
        <f>SU_02003_p</f>
        <v>1.2467495599999998</v>
      </c>
      <c r="L22" s="120">
        <v>0</v>
      </c>
      <c r="M22" s="120">
        <v>0</v>
      </c>
      <c r="N22" s="121">
        <f t="shared" si="8"/>
        <v>22.441492079999996</v>
      </c>
      <c r="O22" s="122"/>
    </row>
    <row r="23" spans="1:15" ht="15" x14ac:dyDescent="0.25">
      <c r="A23" s="116"/>
      <c r="B23" s="116" t="s">
        <v>63</v>
      </c>
      <c r="C23" s="117" t="str">
        <f>SU_02004</f>
        <v>SU_02004</v>
      </c>
      <c r="D23" s="117" t="s">
        <v>11</v>
      </c>
      <c r="E23" s="117" t="str">
        <f t="shared" si="9"/>
        <v>Lower Front A-arm</v>
      </c>
      <c r="F23" s="118" t="str">
        <f>'SU 02004'!B5</f>
        <v>Lower Front A-arm tube (Back)  Carbon Fiber Tube</v>
      </c>
      <c r="G23" s="117"/>
      <c r="H23" s="119">
        <f t="shared" si="7"/>
        <v>10.001779199999998</v>
      </c>
      <c r="I23" s="123">
        <f>SU_A0200_q*SU_02004_q</f>
        <v>2</v>
      </c>
      <c r="J23" s="120">
        <f>SU_02004_m</f>
        <v>8.8904703999999981</v>
      </c>
      <c r="K23" s="120">
        <f>SU_02004_p</f>
        <v>1.1113087999999998</v>
      </c>
      <c r="L23" s="120">
        <v>0</v>
      </c>
      <c r="M23" s="120">
        <v>0</v>
      </c>
      <c r="N23" s="121">
        <f t="shared" si="8"/>
        <v>20.003558399999996</v>
      </c>
      <c r="O23" s="122"/>
    </row>
    <row r="24" spans="1:15" ht="15" x14ac:dyDescent="0.25">
      <c r="A24" s="116"/>
      <c r="B24" s="116" t="s">
        <v>63</v>
      </c>
      <c r="C24" s="117" t="str">
        <f>SU_02005</f>
        <v>SU_02005</v>
      </c>
      <c r="D24" s="117" t="s">
        <v>11</v>
      </c>
      <c r="E24" s="117" t="str">
        <f t="shared" si="9"/>
        <v>Lower Front A-arm</v>
      </c>
      <c r="F24" s="118" t="str">
        <f>'SU 02005'!B5</f>
        <v>Spacer 1</v>
      </c>
      <c r="G24" s="117"/>
      <c r="H24" s="119">
        <f t="shared" si="7"/>
        <v>0.90817037600000006</v>
      </c>
      <c r="I24" s="123">
        <f>SU_A0200_q*SU_02005_q</f>
        <v>4</v>
      </c>
      <c r="J24" s="120">
        <f>SU_02005_m</f>
        <v>3.0170376000000002E-2</v>
      </c>
      <c r="K24" s="120">
        <f>SU_02005_p</f>
        <v>0.878</v>
      </c>
      <c r="L24" s="120">
        <v>0</v>
      </c>
      <c r="M24" s="120">
        <v>0</v>
      </c>
      <c r="N24" s="121">
        <f t="shared" si="8"/>
        <v>3.6326815040000002</v>
      </c>
      <c r="O24" s="122"/>
    </row>
    <row r="25" spans="1:15" ht="15" x14ac:dyDescent="0.25">
      <c r="A25" s="116"/>
      <c r="B25" s="116" t="s">
        <v>63</v>
      </c>
      <c r="C25" s="117" t="str">
        <f>SU_02006</f>
        <v>SU_02006</v>
      </c>
      <c r="D25" s="117" t="s">
        <v>11</v>
      </c>
      <c r="E25" s="117" t="str">
        <f t="shared" si="9"/>
        <v>Lower Front A-arm</v>
      </c>
      <c r="F25" s="118" t="str">
        <f>'SU 02006'!B5</f>
        <v>Spacer 2</v>
      </c>
      <c r="G25" s="117"/>
      <c r="H25" s="119">
        <f t="shared" ref="H25" si="10">SUM(J25:M25)</f>
        <v>0.32421353411764708</v>
      </c>
      <c r="I25" s="123">
        <f>SU_A0200_q*SU_02006_q</f>
        <v>8</v>
      </c>
      <c r="J25" s="120">
        <f>SU_02006_m</f>
        <v>0.14197824000000003</v>
      </c>
      <c r="K25" s="120">
        <f>SU_02006_p</f>
        <v>0.18223529411764708</v>
      </c>
      <c r="L25" s="120">
        <v>0</v>
      </c>
      <c r="M25" s="120">
        <v>0</v>
      </c>
      <c r="N25" s="121">
        <f t="shared" ref="N25" si="11">H25*I25</f>
        <v>2.5937082729411767</v>
      </c>
      <c r="O25" s="122"/>
    </row>
    <row r="26" spans="1:15" ht="15" x14ac:dyDescent="0.25">
      <c r="A26" s="116"/>
      <c r="B26" s="116" t="s">
        <v>63</v>
      </c>
      <c r="C26" s="117" t="str">
        <f>SU_02007</f>
        <v>SU_02007</v>
      </c>
      <c r="D26" s="117" t="s">
        <v>11</v>
      </c>
      <c r="E26" s="117" t="str">
        <f t="shared" si="9"/>
        <v>Lower Front A-arm</v>
      </c>
      <c r="F26" s="118" t="str">
        <f>'SU 02007'!B5</f>
        <v>Outboard A-arm Insert</v>
      </c>
      <c r="G26" s="117"/>
      <c r="H26" s="119">
        <f t="shared" si="7"/>
        <v>0.47719727680000001</v>
      </c>
      <c r="I26" s="123">
        <f>SU_A0200_q*SU_02007_q</f>
        <v>4</v>
      </c>
      <c r="J26" s="120">
        <f>SU_02007_m</f>
        <v>7.7197276800000006E-2</v>
      </c>
      <c r="K26" s="120">
        <f>SU_02007_p</f>
        <v>0.4</v>
      </c>
      <c r="L26" s="120">
        <v>0</v>
      </c>
      <c r="M26" s="120">
        <v>0</v>
      </c>
      <c r="N26" s="121">
        <f t="shared" si="8"/>
        <v>1.9087891072000001</v>
      </c>
      <c r="O26" s="122"/>
    </row>
    <row r="27" spans="1:15" ht="15" x14ac:dyDescent="0.25">
      <c r="A27" s="456"/>
      <c r="B27" s="116" t="s">
        <v>63</v>
      </c>
      <c r="C27" s="117" t="str">
        <f>SU_02008</f>
        <v>SU_02008</v>
      </c>
      <c r="D27" s="117" t="s">
        <v>11</v>
      </c>
      <c r="E27" s="117" t="str">
        <f t="shared" si="9"/>
        <v>Lower Front A-arm</v>
      </c>
      <c r="F27" s="118" t="str">
        <f>'SU 02008'!B5</f>
        <v>Front up bracket</v>
      </c>
      <c r="G27" s="457"/>
      <c r="H27" s="119">
        <f t="shared" ref="H27:H30" si="12">SUM(J27:M27)</f>
        <v>1.3868720000000001</v>
      </c>
      <c r="I27" s="123">
        <f>SU_A0200_q*SU_02008_q</f>
        <v>2</v>
      </c>
      <c r="J27" s="120">
        <f>SU_02008_m</f>
        <v>0.12477600000000001</v>
      </c>
      <c r="K27" s="120">
        <f>SU_02008_p</f>
        <v>1.2620960000000001</v>
      </c>
      <c r="L27" s="120">
        <v>0</v>
      </c>
      <c r="M27" s="120">
        <v>0</v>
      </c>
      <c r="N27" s="121">
        <f t="shared" ref="N27:N30" si="13">H27*I27</f>
        <v>2.7737440000000002</v>
      </c>
      <c r="O27" s="459"/>
    </row>
    <row r="28" spans="1:15" ht="15" x14ac:dyDescent="0.25">
      <c r="A28" s="456"/>
      <c r="B28" s="116" t="s">
        <v>63</v>
      </c>
      <c r="C28" s="117" t="str">
        <f>SU_02009</f>
        <v>SU_02009</v>
      </c>
      <c r="D28" s="117" t="s">
        <v>11</v>
      </c>
      <c r="E28" s="117" t="str">
        <f t="shared" si="9"/>
        <v>Lower Front A-arm</v>
      </c>
      <c r="F28" s="458" t="str">
        <f>'SU 02009'!B5</f>
        <v>Front down bracket</v>
      </c>
      <c r="G28" s="457"/>
      <c r="H28" s="119">
        <f t="shared" si="12"/>
        <v>1.4357435000000001</v>
      </c>
      <c r="I28" s="123">
        <f>SU_A0200_q*SU_02009_q</f>
        <v>2</v>
      </c>
      <c r="J28" s="120">
        <f>SU_02009_m</f>
        <v>0.1620355</v>
      </c>
      <c r="K28" s="120">
        <f>SU_02009_p</f>
        <v>1.2737080000000001</v>
      </c>
      <c r="L28" s="120">
        <v>0</v>
      </c>
      <c r="M28" s="120">
        <v>0</v>
      </c>
      <c r="N28" s="121">
        <f t="shared" si="13"/>
        <v>2.8714870000000001</v>
      </c>
      <c r="O28" s="459"/>
    </row>
    <row r="29" spans="1:15" ht="15" x14ac:dyDescent="0.25">
      <c r="A29" s="456"/>
      <c r="B29" s="116" t="s">
        <v>63</v>
      </c>
      <c r="C29" s="117" t="str">
        <f>SU_02010</f>
        <v>SU_02010</v>
      </c>
      <c r="D29" s="117" t="s">
        <v>11</v>
      </c>
      <c r="E29" s="117" t="str">
        <f t="shared" si="9"/>
        <v>Lower Front A-arm</v>
      </c>
      <c r="F29" s="458" t="str">
        <f>'SU 02010'!B5</f>
        <v>Rear Up bracket</v>
      </c>
      <c r="G29" s="457"/>
      <c r="H29" s="119">
        <f t="shared" si="12"/>
        <v>1.3315549999999998</v>
      </c>
      <c r="I29" s="123">
        <f>SU_A0200_q*SU_02010_q</f>
        <v>2</v>
      </c>
      <c r="J29" s="120">
        <f>SU_02010_m</f>
        <v>9.5315000000000011E-2</v>
      </c>
      <c r="K29" s="120">
        <f>SU_02010_p</f>
        <v>1.2362399999999998</v>
      </c>
      <c r="L29" s="120">
        <v>0</v>
      </c>
      <c r="M29" s="120">
        <v>0</v>
      </c>
      <c r="N29" s="121">
        <f t="shared" si="13"/>
        <v>2.6631099999999996</v>
      </c>
      <c r="O29" s="459"/>
    </row>
    <row r="30" spans="1:15" ht="15" x14ac:dyDescent="0.25">
      <c r="A30" s="456"/>
      <c r="B30" s="116" t="s">
        <v>63</v>
      </c>
      <c r="C30" s="117" t="str">
        <f>SU_02011</f>
        <v>SU_02011</v>
      </c>
      <c r="D30" s="117" t="s">
        <v>11</v>
      </c>
      <c r="E30" s="117" t="str">
        <f t="shared" si="9"/>
        <v>Lower Front A-arm</v>
      </c>
      <c r="F30" s="458" t="str">
        <f>'SU 02011'!B5</f>
        <v>Rear down bracket</v>
      </c>
      <c r="G30" s="457"/>
      <c r="H30" s="119">
        <f t="shared" si="12"/>
        <v>1.41506025</v>
      </c>
      <c r="I30" s="123">
        <f>SU_A0200_q*SU_02011_q</f>
        <v>2</v>
      </c>
      <c r="J30" s="120">
        <f>SU_02011_m</f>
        <v>0.14773825000000002</v>
      </c>
      <c r="K30" s="120">
        <f>SU_02011_p</f>
        <v>1.2673220000000001</v>
      </c>
      <c r="L30" s="120">
        <v>0</v>
      </c>
      <c r="M30" s="120">
        <v>0</v>
      </c>
      <c r="N30" s="121">
        <f t="shared" si="13"/>
        <v>2.8301205</v>
      </c>
      <c r="O30" s="459"/>
    </row>
    <row r="31" spans="1:15" ht="15" x14ac:dyDescent="0.25">
      <c r="A31" s="109"/>
      <c r="B31" s="110" t="s">
        <v>63</v>
      </c>
      <c r="C31" s="111" t="str">
        <f>SU_A0300</f>
        <v>SU A0300</v>
      </c>
      <c r="D31" s="111" t="s">
        <v>11</v>
      </c>
      <c r="E31" s="111"/>
      <c r="F31" s="136" t="str">
        <f>'SU A0300'!B4</f>
        <v>Upper Back A-arm</v>
      </c>
      <c r="G31" s="111"/>
      <c r="H31" s="112">
        <f t="shared" ref="H31:H38" si="14">SUM(J31:M31)</f>
        <v>38.579540947087935</v>
      </c>
      <c r="I31" s="143">
        <f>SU_A0300_q</f>
        <v>2</v>
      </c>
      <c r="J31" s="113">
        <f>SU_A0300_m</f>
        <v>20.759999999999998</v>
      </c>
      <c r="K31" s="113">
        <f>SU_A0300_p</f>
        <v>16.033700000000003</v>
      </c>
      <c r="L31" s="113">
        <f>SU_A0300_f</f>
        <v>0.45250761375459631</v>
      </c>
      <c r="M31" s="113">
        <f>SU_A0300_t</f>
        <v>1.3333333333333333</v>
      </c>
      <c r="N31" s="114">
        <f t="shared" ref="N31:N38" si="15">H31*I31</f>
        <v>77.15908189417587</v>
      </c>
      <c r="O31" s="115"/>
    </row>
    <row r="32" spans="1:15" ht="15" x14ac:dyDescent="0.25">
      <c r="A32" s="116"/>
      <c r="B32" s="116" t="s">
        <v>63</v>
      </c>
      <c r="C32" s="117" t="str">
        <f>SU_03001</f>
        <v>SU 03001</v>
      </c>
      <c r="D32" s="117" t="s">
        <v>11</v>
      </c>
      <c r="E32" s="117" t="str">
        <f>$F$31</f>
        <v>Upper Back A-arm</v>
      </c>
      <c r="F32" s="118" t="str">
        <f>'SU 03001'!$B$5</f>
        <v>Upper Back Bearing Support</v>
      </c>
      <c r="G32" s="117"/>
      <c r="H32" s="119">
        <f t="shared" si="14"/>
        <v>16.4854905344</v>
      </c>
      <c r="I32" s="123">
        <f>SU_A0300_q*SU_03001_q</f>
        <v>2</v>
      </c>
      <c r="J32" s="120">
        <f>SU_03001_m</f>
        <v>2.4914905344</v>
      </c>
      <c r="K32" s="120">
        <f>SU_03001_p</f>
        <v>13.994000000000002</v>
      </c>
      <c r="L32" s="120">
        <v>0</v>
      </c>
      <c r="M32" s="120">
        <v>0</v>
      </c>
      <c r="N32" s="121">
        <f t="shared" si="15"/>
        <v>32.9709810688</v>
      </c>
      <c r="O32" s="122"/>
    </row>
    <row r="33" spans="1:15" ht="15" x14ac:dyDescent="0.25">
      <c r="A33" s="116"/>
      <c r="B33" s="116" t="s">
        <v>63</v>
      </c>
      <c r="C33" s="117" t="str">
        <f>SU_03002</f>
        <v>SU 03002</v>
      </c>
      <c r="D33" s="117" t="s">
        <v>11</v>
      </c>
      <c r="E33" s="117" t="str">
        <f t="shared" ref="E33:E42" si="16">$F$31</f>
        <v>Upper Back A-arm</v>
      </c>
      <c r="F33" s="118" t="str">
        <f>'SU 03002'!$B$5</f>
        <v>Inner Bearing Support</v>
      </c>
      <c r="G33" s="117"/>
      <c r="H33" s="119">
        <f t="shared" si="14"/>
        <v>1.8728805440000003</v>
      </c>
      <c r="I33" s="123">
        <f>SU_A0300_q*SU_03002_q</f>
        <v>4</v>
      </c>
      <c r="J33" s="120">
        <f>SU_03002_m</f>
        <v>0.85838054400000008</v>
      </c>
      <c r="K33" s="120">
        <f>SU_03002_p</f>
        <v>1.0145000000000002</v>
      </c>
      <c r="L33" s="120">
        <v>0</v>
      </c>
      <c r="M33" s="120">
        <v>0</v>
      </c>
      <c r="N33" s="121">
        <f t="shared" si="15"/>
        <v>7.491522176000001</v>
      </c>
      <c r="O33" s="122"/>
    </row>
    <row r="34" spans="1:15" ht="15" x14ac:dyDescent="0.25">
      <c r="A34" s="116"/>
      <c r="B34" s="116" t="s">
        <v>63</v>
      </c>
      <c r="C34" s="117" t="str">
        <f>SU_03003</f>
        <v>SU 03003</v>
      </c>
      <c r="D34" s="117" t="s">
        <v>11</v>
      </c>
      <c r="E34" s="117" t="str">
        <f t="shared" si="16"/>
        <v>Upper Back A-arm</v>
      </c>
      <c r="F34" s="118" t="str">
        <f>'SU 03003'!$B$5</f>
        <v>Upper Back A-arm tube (Front)  Carbon Fiber Tube</v>
      </c>
      <c r="G34" s="117"/>
      <c r="H34" s="119">
        <f t="shared" si="14"/>
        <v>10.876934879999999</v>
      </c>
      <c r="I34" s="123">
        <f>SU_A0300_q*SU_03003_q</f>
        <v>2</v>
      </c>
      <c r="J34" s="120">
        <f>SU_03003_m</f>
        <v>9.6683865599999983</v>
      </c>
      <c r="K34" s="120">
        <f>SU_03003_p</f>
        <v>1.2085483199999998</v>
      </c>
      <c r="L34" s="120">
        <v>0</v>
      </c>
      <c r="M34" s="120">
        <v>0</v>
      </c>
      <c r="N34" s="121">
        <f t="shared" si="15"/>
        <v>21.753869759999997</v>
      </c>
      <c r="O34" s="122"/>
    </row>
    <row r="35" spans="1:15" ht="15" x14ac:dyDescent="0.25">
      <c r="A35" s="116"/>
      <c r="B35" s="116" t="s">
        <v>63</v>
      </c>
      <c r="C35" s="117" t="str">
        <f>SU_03004</f>
        <v>SU 03004</v>
      </c>
      <c r="D35" s="117" t="s">
        <v>11</v>
      </c>
      <c r="E35" s="117" t="str">
        <f t="shared" si="16"/>
        <v>Upper Back A-arm</v>
      </c>
      <c r="F35" s="118" t="str">
        <f>'SU 03004'!$B$5</f>
        <v>Upper Back A-arm tube (Back)  Carbon Fiber Tube</v>
      </c>
      <c r="G35" s="117"/>
      <c r="H35" s="119">
        <f t="shared" si="14"/>
        <v>4.3445228399999989</v>
      </c>
      <c r="I35" s="123">
        <f>SU_A0300_q*SU_03004_q</f>
        <v>2</v>
      </c>
      <c r="J35" s="120">
        <f>SU_03004_m</f>
        <v>3.8617980799999994</v>
      </c>
      <c r="K35" s="120">
        <f>SU_03004_p</f>
        <v>0.48272475999999992</v>
      </c>
      <c r="L35" s="120">
        <v>0</v>
      </c>
      <c r="M35" s="120">
        <v>0</v>
      </c>
      <c r="N35" s="121">
        <f t="shared" si="15"/>
        <v>8.6890456799999978</v>
      </c>
      <c r="O35" s="122"/>
    </row>
    <row r="36" spans="1:15" ht="15" x14ac:dyDescent="0.25">
      <c r="A36" s="116"/>
      <c r="B36" s="116" t="s">
        <v>63</v>
      </c>
      <c r="C36" s="117" t="str">
        <f>SU_03005</f>
        <v>SU 03005</v>
      </c>
      <c r="D36" s="117" t="s">
        <v>11</v>
      </c>
      <c r="E36" s="117" t="str">
        <f t="shared" si="16"/>
        <v>Upper Back A-arm</v>
      </c>
      <c r="F36" s="118" t="str">
        <f>'SU 03005'!$B$5</f>
        <v>Spacer 1</v>
      </c>
      <c r="G36" s="117"/>
      <c r="H36" s="119">
        <f t="shared" si="14"/>
        <v>0.7197472800000001</v>
      </c>
      <c r="I36" s="123">
        <f>SU_A0300_q*SU_03005_q</f>
        <v>4</v>
      </c>
      <c r="J36" s="120">
        <f>SU_03005_m</f>
        <v>1.7747280000000004E-2</v>
      </c>
      <c r="K36" s="120">
        <f>SU_03005_p</f>
        <v>0.70200000000000007</v>
      </c>
      <c r="L36" s="120">
        <v>0</v>
      </c>
      <c r="M36" s="120">
        <v>0</v>
      </c>
      <c r="N36" s="121">
        <f t="shared" si="15"/>
        <v>2.8789891200000004</v>
      </c>
      <c r="O36" s="122"/>
    </row>
    <row r="37" spans="1:15" ht="15" x14ac:dyDescent="0.25">
      <c r="A37" s="116"/>
      <c r="B37" s="116" t="s">
        <v>63</v>
      </c>
      <c r="C37" s="117" t="str">
        <f>SU_03006</f>
        <v>SU 03006</v>
      </c>
      <c r="D37" s="117" t="s">
        <v>11</v>
      </c>
      <c r="E37" s="117" t="str">
        <f t="shared" si="16"/>
        <v>Upper Back A-arm</v>
      </c>
      <c r="F37" s="118" t="str">
        <f>'SU 03006'!$B$5</f>
        <v>Spacer 2</v>
      </c>
      <c r="G37" s="117"/>
      <c r="H37" s="119">
        <f t="shared" si="14"/>
        <v>0.32421353411764708</v>
      </c>
      <c r="I37" s="123">
        <f>SU_A0300_q*SU_03006_q</f>
        <v>8</v>
      </c>
      <c r="J37" s="120">
        <f>SU_03006_m</f>
        <v>0.14197824000000003</v>
      </c>
      <c r="K37" s="120">
        <f>SU_03006_p</f>
        <v>0.18223529411764708</v>
      </c>
      <c r="L37" s="120">
        <v>0</v>
      </c>
      <c r="M37" s="120">
        <v>0</v>
      </c>
      <c r="N37" s="121">
        <f t="shared" si="15"/>
        <v>2.5937082729411767</v>
      </c>
      <c r="O37" s="122"/>
    </row>
    <row r="38" spans="1:15" ht="15" x14ac:dyDescent="0.25">
      <c r="A38" s="116"/>
      <c r="B38" s="116" t="s">
        <v>63</v>
      </c>
      <c r="C38" s="117" t="str">
        <f>SU_03007</f>
        <v>SU 03007</v>
      </c>
      <c r="D38" s="117" t="s">
        <v>11</v>
      </c>
      <c r="E38" s="117" t="str">
        <f t="shared" si="16"/>
        <v>Upper Back A-arm</v>
      </c>
      <c r="F38" s="118" t="str">
        <f>'SU 03007'!$B$5</f>
        <v>Outboard A-arm Insert</v>
      </c>
      <c r="G38" s="117"/>
      <c r="H38" s="119">
        <f t="shared" si="14"/>
        <v>0.47719727680000001</v>
      </c>
      <c r="I38" s="123">
        <f>SU_A0300_q*SU_03007_q</f>
        <v>4</v>
      </c>
      <c r="J38" s="120">
        <f>SU_03007_m</f>
        <v>7.7197276800000006E-2</v>
      </c>
      <c r="K38" s="120">
        <f>SU_03007_p</f>
        <v>0.4</v>
      </c>
      <c r="L38" s="120">
        <v>0</v>
      </c>
      <c r="M38" s="120">
        <v>0</v>
      </c>
      <c r="N38" s="121">
        <f t="shared" si="15"/>
        <v>1.9087891072000001</v>
      </c>
      <c r="O38" s="122"/>
    </row>
    <row r="39" spans="1:15" ht="15" x14ac:dyDescent="0.25">
      <c r="A39" s="456"/>
      <c r="B39" s="116" t="s">
        <v>63</v>
      </c>
      <c r="C39" s="117" t="str">
        <f>SU_03008</f>
        <v>SU 03008</v>
      </c>
      <c r="D39" s="117" t="s">
        <v>11</v>
      </c>
      <c r="E39" s="117" t="str">
        <f t="shared" si="16"/>
        <v>Upper Back A-arm</v>
      </c>
      <c r="F39" s="458" t="str">
        <f>'SU 03008'!$B$5</f>
        <v>Front up bracket</v>
      </c>
      <c r="G39" s="457"/>
      <c r="H39" s="119">
        <f t="shared" ref="H39:H50" si="17">SUM(J39:M39)</f>
        <v>1.4969516249999999</v>
      </c>
      <c r="I39" s="123">
        <f>SU_A0300_q*SU_03008_q</f>
        <v>2</v>
      </c>
      <c r="J39" s="120">
        <f>SU_03008_m</f>
        <v>0.19777862500000001</v>
      </c>
      <c r="K39" s="120">
        <f>SU_03008_p</f>
        <v>1.2991729999999999</v>
      </c>
      <c r="L39" s="120">
        <v>0</v>
      </c>
      <c r="M39" s="120">
        <v>0</v>
      </c>
      <c r="N39" s="121">
        <f t="shared" ref="N39:N50" si="18">H39*I39</f>
        <v>2.9939032499999998</v>
      </c>
      <c r="O39" s="459"/>
    </row>
    <row r="40" spans="1:15" ht="15" x14ac:dyDescent="0.25">
      <c r="A40" s="456"/>
      <c r="B40" s="116" t="s">
        <v>63</v>
      </c>
      <c r="C40" s="117" t="str">
        <f>SU_03009</f>
        <v>SU 03009</v>
      </c>
      <c r="D40" s="117" t="s">
        <v>11</v>
      </c>
      <c r="E40" s="117" t="str">
        <f t="shared" si="16"/>
        <v>Upper Back A-arm</v>
      </c>
      <c r="F40" s="458" t="str">
        <f>'SU 03009'!$B$5</f>
        <v>Front down bracket</v>
      </c>
      <c r="G40" s="457"/>
      <c r="H40" s="119">
        <f t="shared" si="17"/>
        <v>1.49211</v>
      </c>
      <c r="I40" s="123">
        <f>SU_A0300_q*SU_03009_q</f>
        <v>2</v>
      </c>
      <c r="J40" s="120">
        <f>SU_03009_m</f>
        <v>0.19063000000000002</v>
      </c>
      <c r="K40" s="120">
        <f>SU_03009_p</f>
        <v>1.30148</v>
      </c>
      <c r="L40" s="120">
        <v>0</v>
      </c>
      <c r="M40" s="120">
        <v>0</v>
      </c>
      <c r="N40" s="121">
        <f t="shared" si="18"/>
        <v>2.9842200000000001</v>
      </c>
      <c r="O40" s="459"/>
    </row>
    <row r="41" spans="1:15" ht="15" x14ac:dyDescent="0.25">
      <c r="A41" s="456"/>
      <c r="B41" s="116" t="s">
        <v>63</v>
      </c>
      <c r="C41" s="117" t="str">
        <f>SU_03010</f>
        <v>SU 03010</v>
      </c>
      <c r="D41" s="117" t="s">
        <v>11</v>
      </c>
      <c r="E41" s="117" t="str">
        <f t="shared" si="16"/>
        <v>Upper Back A-arm</v>
      </c>
      <c r="F41" s="458" t="str">
        <f>'SU 03010'!$B$5</f>
        <v>Rear up bracket</v>
      </c>
      <c r="G41" s="457"/>
      <c r="H41" s="119">
        <f t="shared" si="17"/>
        <v>1.2680301249999999</v>
      </c>
      <c r="I41" s="123">
        <f>SU_A0300_q*SU_03010_q</f>
        <v>2</v>
      </c>
      <c r="J41" s="120">
        <f>SU_03010_m</f>
        <v>7.3869125000000008E-2</v>
      </c>
      <c r="K41" s="120">
        <f>SU_03010_p</f>
        <v>1.1941609999999998</v>
      </c>
      <c r="L41" s="120">
        <v>0</v>
      </c>
      <c r="M41" s="120">
        <v>0</v>
      </c>
      <c r="N41" s="121">
        <f t="shared" si="18"/>
        <v>2.5360602499999998</v>
      </c>
      <c r="O41" s="459"/>
    </row>
    <row r="42" spans="1:15" ht="15" x14ac:dyDescent="0.25">
      <c r="A42" s="456"/>
      <c r="B42" s="116" t="s">
        <v>63</v>
      </c>
      <c r="C42" s="117" t="str">
        <f>SU_03011</f>
        <v>SU 03011</v>
      </c>
      <c r="D42" s="117" t="s">
        <v>11</v>
      </c>
      <c r="E42" s="117" t="str">
        <f t="shared" si="16"/>
        <v>Upper Back A-arm</v>
      </c>
      <c r="F42" s="458" t="str">
        <f>'SU 03011'!$B$5</f>
        <v>Rear down bracket</v>
      </c>
      <c r="G42" s="457"/>
      <c r="H42" s="119">
        <f t="shared" si="17"/>
        <v>1.3787631249999999</v>
      </c>
      <c r="I42" s="123">
        <f>SU_A0300_q*SU_03011_q</f>
        <v>2</v>
      </c>
      <c r="J42" s="120">
        <f>SU_03011_m</f>
        <v>0.13105812499999997</v>
      </c>
      <c r="K42" s="120">
        <f>SU_03011_p</f>
        <v>1.2477049999999998</v>
      </c>
      <c r="L42" s="120">
        <v>0</v>
      </c>
      <c r="M42" s="120">
        <v>0</v>
      </c>
      <c r="N42" s="121">
        <f t="shared" si="18"/>
        <v>2.7575262499999997</v>
      </c>
      <c r="O42" s="459"/>
    </row>
    <row r="43" spans="1:15" ht="15" x14ac:dyDescent="0.25">
      <c r="A43" s="109"/>
      <c r="B43" s="110" t="s">
        <v>63</v>
      </c>
      <c r="C43" s="111" t="str">
        <f>SU_A0400</f>
        <v>SU A0400</v>
      </c>
      <c r="D43" s="111" t="s">
        <v>11</v>
      </c>
      <c r="E43" s="111"/>
      <c r="F43" s="136" t="str">
        <f>'SU A0400'!B4</f>
        <v>Lower Back A-arm</v>
      </c>
      <c r="G43" s="111"/>
      <c r="H43" s="112">
        <f t="shared" si="17"/>
        <v>38.579540947087935</v>
      </c>
      <c r="I43" s="143">
        <f>SU_A0400_q</f>
        <v>2</v>
      </c>
      <c r="J43" s="113">
        <f>SU_A0400_m</f>
        <v>20.759999999999998</v>
      </c>
      <c r="K43" s="113">
        <f>SU_A0400_p</f>
        <v>16.033700000000003</v>
      </c>
      <c r="L43" s="113">
        <f>SU_A0400_f</f>
        <v>0.45250761375459631</v>
      </c>
      <c r="M43" s="113">
        <f>SU_A0400_t</f>
        <v>1.3333333333333333</v>
      </c>
      <c r="N43" s="114">
        <f t="shared" si="18"/>
        <v>77.15908189417587</v>
      </c>
      <c r="O43" s="115"/>
    </row>
    <row r="44" spans="1:15" ht="15" x14ac:dyDescent="0.25">
      <c r="A44" s="116"/>
      <c r="B44" s="116" t="s">
        <v>63</v>
      </c>
      <c r="C44" s="117" t="str">
        <f>SU_04001</f>
        <v>SU 04001</v>
      </c>
      <c r="D44" s="117" t="s">
        <v>11</v>
      </c>
      <c r="E44" s="117" t="str">
        <f>$F$43</f>
        <v>Lower Back A-arm</v>
      </c>
      <c r="F44" s="118" t="str">
        <f>'SU 04001'!$B$5</f>
        <v>Lower Back Bearing Support</v>
      </c>
      <c r="G44" s="117"/>
      <c r="H44" s="119">
        <f t="shared" si="17"/>
        <v>8.9540000000000006</v>
      </c>
      <c r="I44" s="123">
        <f>SU_A0400_q*SU_04001_q</f>
        <v>2</v>
      </c>
      <c r="J44" s="120">
        <f>SU_04001_m</f>
        <v>4.2</v>
      </c>
      <c r="K44" s="120">
        <f>SU_04001_p</f>
        <v>4.7540000000000004</v>
      </c>
      <c r="L44" s="120">
        <v>0</v>
      </c>
      <c r="M44" s="120">
        <v>0</v>
      </c>
      <c r="N44" s="121">
        <f t="shared" si="18"/>
        <v>17.908000000000001</v>
      </c>
      <c r="O44" s="122"/>
    </row>
    <row r="45" spans="1:15" ht="15" x14ac:dyDescent="0.25">
      <c r="A45" s="116"/>
      <c r="B45" s="116" t="s">
        <v>63</v>
      </c>
      <c r="C45" s="117" t="str">
        <f>SU_04002</f>
        <v>SU_04002</v>
      </c>
      <c r="D45" s="117" t="s">
        <v>11</v>
      </c>
      <c r="E45" s="117" t="str">
        <f t="shared" ref="E45:E54" si="19">$F$43</f>
        <v>Lower Back A-arm</v>
      </c>
      <c r="F45" s="118" t="str">
        <f>'SU 04002'!$B$5</f>
        <v>Inner Bearing Support</v>
      </c>
      <c r="G45" s="117"/>
      <c r="H45" s="119">
        <f t="shared" si="17"/>
        <v>1.8728805440000003</v>
      </c>
      <c r="I45" s="123">
        <f>SU_A0400_q*SU_04002_q</f>
        <v>4</v>
      </c>
      <c r="J45" s="120">
        <f>SU_04002_m</f>
        <v>0.85838054400000008</v>
      </c>
      <c r="K45" s="120">
        <f>SU_04002_p</f>
        <v>1.0145000000000002</v>
      </c>
      <c r="L45" s="120">
        <v>0</v>
      </c>
      <c r="M45" s="120">
        <v>0</v>
      </c>
      <c r="N45" s="121">
        <f t="shared" si="18"/>
        <v>7.491522176000001</v>
      </c>
      <c r="O45" s="122"/>
    </row>
    <row r="46" spans="1:15" ht="15" x14ac:dyDescent="0.25">
      <c r="A46" s="116"/>
      <c r="B46" s="116" t="s">
        <v>63</v>
      </c>
      <c r="C46" s="117" t="str">
        <f>SU_04003</f>
        <v>SU_04003</v>
      </c>
      <c r="D46" s="117" t="s">
        <v>11</v>
      </c>
      <c r="E46" s="117" t="str">
        <f t="shared" si="19"/>
        <v>Lower Back A-arm</v>
      </c>
      <c r="F46" s="118" t="str">
        <f>'SU 04003'!$B$5</f>
        <v>Lower Back A-arm tube (Front)  Carbon Fiber Tube</v>
      </c>
      <c r="G46" s="117"/>
      <c r="H46" s="119">
        <f t="shared" si="17"/>
        <v>12.033390599999997</v>
      </c>
      <c r="I46" s="123">
        <f>SU_A0400_q*SU_04003_q</f>
        <v>2</v>
      </c>
      <c r="J46" s="120">
        <f>SU_04003_m</f>
        <v>10.696347199999998</v>
      </c>
      <c r="K46" s="120">
        <f>SU_04003_p</f>
        <v>1.3370433999999998</v>
      </c>
      <c r="L46" s="120">
        <v>0</v>
      </c>
      <c r="M46" s="120">
        <v>0</v>
      </c>
      <c r="N46" s="121">
        <f t="shared" si="18"/>
        <v>24.066781199999994</v>
      </c>
      <c r="O46" s="122"/>
    </row>
    <row r="47" spans="1:15" ht="15" x14ac:dyDescent="0.25">
      <c r="A47" s="116"/>
      <c r="B47" s="116" t="s">
        <v>63</v>
      </c>
      <c r="C47" s="117" t="str">
        <f>SU_04004</f>
        <v>SU_04004</v>
      </c>
      <c r="D47" s="117" t="s">
        <v>11</v>
      </c>
      <c r="E47" s="117" t="str">
        <f t="shared" si="19"/>
        <v>Lower Back A-arm</v>
      </c>
      <c r="F47" s="118" t="str">
        <f>'SU 04004'!$B$5</f>
        <v>Lower Back A-arm tube (Back)  Carbon Fiber Tube</v>
      </c>
      <c r="G47" s="117"/>
      <c r="H47" s="119">
        <f t="shared" si="17"/>
        <v>7.4075677199999985</v>
      </c>
      <c r="I47" s="123">
        <f>SU_A0400_q*SU_04004_q</f>
        <v>2</v>
      </c>
      <c r="J47" s="120">
        <f>SU_04004_m</f>
        <v>6.5845046399999987</v>
      </c>
      <c r="K47" s="120">
        <f>SU_04004_p</f>
        <v>0.82306307999999995</v>
      </c>
      <c r="L47" s="120">
        <v>0</v>
      </c>
      <c r="M47" s="120">
        <v>0</v>
      </c>
      <c r="N47" s="121">
        <f t="shared" si="18"/>
        <v>14.815135439999997</v>
      </c>
      <c r="O47" s="122"/>
    </row>
    <row r="48" spans="1:15" ht="15" x14ac:dyDescent="0.25">
      <c r="A48" s="116"/>
      <c r="B48" s="116" t="s">
        <v>63</v>
      </c>
      <c r="C48" s="117" t="str">
        <f>SU_04005</f>
        <v>SU_04005</v>
      </c>
      <c r="D48" s="117" t="s">
        <v>11</v>
      </c>
      <c r="E48" s="117" t="str">
        <f t="shared" si="19"/>
        <v>Lower Back A-arm</v>
      </c>
      <c r="F48" s="118" t="str">
        <f>'SU 04005'!$B$5</f>
        <v>Spacer 1</v>
      </c>
      <c r="G48" s="117"/>
      <c r="H48" s="119">
        <f t="shared" si="17"/>
        <v>1.6276857568</v>
      </c>
      <c r="I48" s="123">
        <f>SU_A0400_q*SU_04005_q</f>
        <v>4</v>
      </c>
      <c r="J48" s="120">
        <f>SU_04005_m</f>
        <v>2.7685756800000003E-2</v>
      </c>
      <c r="K48" s="120">
        <f>SU_04005_p</f>
        <v>1.6</v>
      </c>
      <c r="L48" s="120">
        <v>0</v>
      </c>
      <c r="M48" s="120">
        <v>0</v>
      </c>
      <c r="N48" s="121">
        <f t="shared" si="18"/>
        <v>6.5107430272000002</v>
      </c>
      <c r="O48" s="122"/>
    </row>
    <row r="49" spans="1:15" ht="15" x14ac:dyDescent="0.25">
      <c r="A49" s="116"/>
      <c r="B49" s="116" t="s">
        <v>63</v>
      </c>
      <c r="C49" s="117" t="str">
        <f>SU_04006</f>
        <v>SU_04006</v>
      </c>
      <c r="D49" s="117" t="s">
        <v>11</v>
      </c>
      <c r="E49" s="117" t="str">
        <f t="shared" si="19"/>
        <v>Lower Back A-arm</v>
      </c>
      <c r="F49" s="118" t="str">
        <f>'SU 04006'!$B$5</f>
        <v>Spacer 2</v>
      </c>
      <c r="G49" s="117"/>
      <c r="H49" s="119">
        <f t="shared" si="17"/>
        <v>0.80517824000000005</v>
      </c>
      <c r="I49" s="123">
        <f>SU_A0400_q*SU_04006_q</f>
        <v>8</v>
      </c>
      <c r="J49" s="120">
        <f>SU_04006_m</f>
        <v>0.14197824000000003</v>
      </c>
      <c r="K49" s="120">
        <f>SU_04006_p</f>
        <v>0.66320000000000001</v>
      </c>
      <c r="L49" s="120">
        <v>0</v>
      </c>
      <c r="M49" s="120">
        <v>0</v>
      </c>
      <c r="N49" s="121">
        <f t="shared" si="18"/>
        <v>6.4414259200000004</v>
      </c>
      <c r="O49" s="122"/>
    </row>
    <row r="50" spans="1:15" ht="15" x14ac:dyDescent="0.25">
      <c r="A50" s="116"/>
      <c r="B50" s="116" t="s">
        <v>63</v>
      </c>
      <c r="C50" s="117" t="str">
        <f>SU_04007</f>
        <v>SU_04007</v>
      </c>
      <c r="D50" s="117" t="s">
        <v>11</v>
      </c>
      <c r="E50" s="117" t="str">
        <f t="shared" si="19"/>
        <v>Lower Back A-arm</v>
      </c>
      <c r="F50" s="118" t="str">
        <f>'SU 04007'!$B$5</f>
        <v>Outboard A-arm Insert</v>
      </c>
      <c r="G50" s="117"/>
      <c r="H50" s="119">
        <f t="shared" si="17"/>
        <v>0.47719727680000001</v>
      </c>
      <c r="I50" s="123">
        <f>SU_A0400_q*SU_04007_q</f>
        <v>4</v>
      </c>
      <c r="J50" s="120">
        <f>SU_04007_m</f>
        <v>7.7197276800000006E-2</v>
      </c>
      <c r="K50" s="120">
        <f>SU_04007_p</f>
        <v>0.4</v>
      </c>
      <c r="L50" s="120">
        <v>0</v>
      </c>
      <c r="M50" s="120">
        <v>0</v>
      </c>
      <c r="N50" s="121">
        <f t="shared" si="18"/>
        <v>1.9087891072000001</v>
      </c>
      <c r="O50" s="122"/>
    </row>
    <row r="51" spans="1:15" ht="15" x14ac:dyDescent="0.25">
      <c r="A51" s="456"/>
      <c r="B51" s="116" t="s">
        <v>63</v>
      </c>
      <c r="C51" s="117" t="str">
        <f>SU_04008</f>
        <v>SU 04008</v>
      </c>
      <c r="D51" s="117" t="s">
        <v>11</v>
      </c>
      <c r="E51" s="117" t="str">
        <f t="shared" si="19"/>
        <v>Lower Back A-arm</v>
      </c>
      <c r="F51" s="118" t="str">
        <f>'SU 04008'!$B$5</f>
        <v>Front up bracket</v>
      </c>
      <c r="G51" s="457"/>
      <c r="H51" s="119">
        <f t="shared" ref="H51:H56" si="20">SUM(J51:M51)</f>
        <v>1.3905750000000001</v>
      </c>
      <c r="I51" s="123">
        <f>SU_A0400_q*SU_04008_q</f>
        <v>2</v>
      </c>
      <c r="J51" s="120">
        <f>SU_04008_m</f>
        <v>0.12997500000000001</v>
      </c>
      <c r="K51" s="120">
        <f>SU_04008_p</f>
        <v>1.2606000000000002</v>
      </c>
      <c r="L51" s="120">
        <v>0</v>
      </c>
      <c r="M51" s="120">
        <v>0</v>
      </c>
      <c r="N51" s="121">
        <f t="shared" ref="N51:N67" si="21">H51*I51</f>
        <v>2.7811500000000002</v>
      </c>
      <c r="O51" s="459"/>
    </row>
    <row r="52" spans="1:15" ht="15" x14ac:dyDescent="0.25">
      <c r="A52" s="456"/>
      <c r="B52" s="116" t="s">
        <v>63</v>
      </c>
      <c r="C52" s="117" t="str">
        <f>SU_04009</f>
        <v>SU 04009</v>
      </c>
      <c r="D52" s="117" t="s">
        <v>11</v>
      </c>
      <c r="E52" s="117" t="str">
        <f t="shared" si="19"/>
        <v>Lower Back A-arm</v>
      </c>
      <c r="F52" s="458" t="str">
        <f>'SU 04009'!$B$5</f>
        <v>Front down bracket</v>
      </c>
      <c r="G52" s="457"/>
      <c r="H52" s="119">
        <f t="shared" si="20"/>
        <v>1.3814265000000003</v>
      </c>
      <c r="I52" s="123">
        <f>SU_A0400_q*SU_04009_q</f>
        <v>2</v>
      </c>
      <c r="J52" s="120">
        <f>SU_04009_m</f>
        <v>0.13257449999999998</v>
      </c>
      <c r="K52" s="120">
        <f>SU_04009_p</f>
        <v>1.2488520000000003</v>
      </c>
      <c r="L52" s="120">
        <v>0</v>
      </c>
      <c r="M52" s="120">
        <v>0</v>
      </c>
      <c r="N52" s="121">
        <f t="shared" si="21"/>
        <v>2.7628530000000007</v>
      </c>
      <c r="O52" s="459"/>
    </row>
    <row r="53" spans="1:15" ht="15" x14ac:dyDescent="0.25">
      <c r="A53" s="456"/>
      <c r="B53" s="116" t="s">
        <v>63</v>
      </c>
      <c r="C53" s="117" t="str">
        <f>SU_04010</f>
        <v>SU 04010</v>
      </c>
      <c r="D53" s="117" t="s">
        <v>11</v>
      </c>
      <c r="E53" s="117" t="str">
        <f t="shared" si="19"/>
        <v>Lower Back A-arm</v>
      </c>
      <c r="F53" s="458" t="str">
        <f>'SU 04010'!$B$5</f>
        <v>Rear up bracket</v>
      </c>
      <c r="G53" s="457"/>
      <c r="H53" s="119">
        <f t="shared" si="20"/>
        <v>1.8130709999999999</v>
      </c>
      <c r="I53" s="123">
        <f>SU_A0400_q*SU_04010_q</f>
        <v>2</v>
      </c>
      <c r="J53" s="120">
        <f>SU_04010_m</f>
        <v>0.29634299999999991</v>
      </c>
      <c r="K53" s="120">
        <f>SU_04010_p</f>
        <v>1.5167280000000001</v>
      </c>
      <c r="L53" s="120">
        <v>0</v>
      </c>
      <c r="M53" s="120">
        <v>0</v>
      </c>
      <c r="N53" s="121">
        <f t="shared" si="21"/>
        <v>3.6261419999999998</v>
      </c>
      <c r="O53" s="459"/>
    </row>
    <row r="54" spans="1:15" ht="15" x14ac:dyDescent="0.25">
      <c r="A54" s="456"/>
      <c r="B54" s="116" t="s">
        <v>63</v>
      </c>
      <c r="C54" s="117" t="str">
        <f>SU_04011</f>
        <v>SU 04011</v>
      </c>
      <c r="D54" s="117" t="s">
        <v>11</v>
      </c>
      <c r="E54" s="117" t="str">
        <f t="shared" si="19"/>
        <v>Lower Back A-arm</v>
      </c>
      <c r="F54" s="458" t="str">
        <f>'SU 04011'!$B$5</f>
        <v>Rear down bracket</v>
      </c>
      <c r="G54" s="457"/>
      <c r="H54" s="119">
        <f t="shared" si="20"/>
        <v>1.9015070000000001</v>
      </c>
      <c r="I54" s="123">
        <f>SU_A0400_q*SU_04011_q</f>
        <v>2</v>
      </c>
      <c r="J54" s="120">
        <f>SU_04011_m</f>
        <v>0.35873100000000002</v>
      </c>
      <c r="K54" s="120">
        <f>SU_04011_p</f>
        <v>1.5427759999999999</v>
      </c>
      <c r="L54" s="120">
        <v>0</v>
      </c>
      <c r="M54" s="120">
        <v>0</v>
      </c>
      <c r="N54" s="121">
        <f t="shared" si="21"/>
        <v>3.8030140000000001</v>
      </c>
      <c r="O54" s="459"/>
    </row>
    <row r="55" spans="1:15" ht="15" x14ac:dyDescent="0.25">
      <c r="A55" s="109"/>
      <c r="B55" s="109" t="s">
        <v>63</v>
      </c>
      <c r="C55" s="111" t="s">
        <v>270</v>
      </c>
      <c r="D55" s="111" t="s">
        <v>11</v>
      </c>
      <c r="E55" s="111"/>
      <c r="F55" s="257" t="str">
        <f>'SU A0500'!B4</f>
        <v>Front suspension</v>
      </c>
      <c r="G55" s="111"/>
      <c r="H55" s="112">
        <f t="shared" si="20"/>
        <v>332.69722874847344</v>
      </c>
      <c r="I55" s="668">
        <f>SU_A0500_q</f>
        <v>2</v>
      </c>
      <c r="J55" s="113">
        <f>SU_A0500_m</f>
        <v>330.04</v>
      </c>
      <c r="K55" s="113">
        <f>SU_A0500_p</f>
        <v>2.12</v>
      </c>
      <c r="L55" s="113">
        <f>SU_A0500_f</f>
        <v>0.20389541514008255</v>
      </c>
      <c r="M55" s="113">
        <f>SU_A0500_t</f>
        <v>0.33333333333333331</v>
      </c>
      <c r="N55" s="114">
        <f t="shared" si="21"/>
        <v>665.39445749694687</v>
      </c>
      <c r="O55" s="115"/>
    </row>
    <row r="56" spans="1:15" ht="15" x14ac:dyDescent="0.25">
      <c r="A56" s="116"/>
      <c r="B56" s="116" t="s">
        <v>63</v>
      </c>
      <c r="C56" s="117" t="str">
        <f>SU_05001</f>
        <v>SU 05001</v>
      </c>
      <c r="D56" s="117" t="s">
        <v>11</v>
      </c>
      <c r="E56" s="117" t="str">
        <f>F55</f>
        <v>Front suspension</v>
      </c>
      <c r="F56" s="118" t="str">
        <f>'SU 05001'!B5</f>
        <v>Shock Front Bracket</v>
      </c>
      <c r="G56" s="117"/>
      <c r="H56" s="119">
        <f t="shared" si="20"/>
        <v>5.9234014172552163</v>
      </c>
      <c r="I56" s="669">
        <f>SU_05001_q*SU_A0500_q</f>
        <v>2</v>
      </c>
      <c r="J56" s="120">
        <f>SU_05001_m</f>
        <v>0.38660141725521602</v>
      </c>
      <c r="K56" s="120">
        <f>SU_05001_p</f>
        <v>5.5368000000000004</v>
      </c>
      <c r="L56" s="120">
        <v>0</v>
      </c>
      <c r="M56" s="120">
        <v>0</v>
      </c>
      <c r="N56" s="121">
        <f t="shared" si="21"/>
        <v>11.846802834510433</v>
      </c>
      <c r="O56" s="122"/>
    </row>
    <row r="57" spans="1:15" ht="15" x14ac:dyDescent="0.25">
      <c r="A57" s="682"/>
      <c r="B57" s="109" t="s">
        <v>63</v>
      </c>
      <c r="C57" s="684" t="str">
        <f>SU_A0600</f>
        <v>SU A0600</v>
      </c>
      <c r="D57" s="684" t="s">
        <v>11</v>
      </c>
      <c r="E57" s="684"/>
      <c r="F57" s="685" t="str">
        <f>'SU A0600'!B4</f>
        <v>Front Bell Crank</v>
      </c>
      <c r="G57" s="684"/>
      <c r="H57" s="686">
        <f t="shared" ref="H57:H61" si="22">SUM(J57:M57)</f>
        <v>2.2678904435983189</v>
      </c>
      <c r="I57" s="687">
        <f>SU_A0600_q</f>
        <v>2</v>
      </c>
      <c r="J57" s="688">
        <f>SU_A0600_m</f>
        <v>0.09</v>
      </c>
      <c r="K57" s="688">
        <f>SU_A0600_p</f>
        <v>1.5945</v>
      </c>
      <c r="L57" s="688">
        <f>SU_A0600_f</f>
        <v>0.25005711026498539</v>
      </c>
      <c r="M57" s="688">
        <f>SU_A0600_t</f>
        <v>0.33333333333333331</v>
      </c>
      <c r="N57" s="689">
        <f t="shared" si="21"/>
        <v>4.5357808871966379</v>
      </c>
      <c r="O57" s="690"/>
    </row>
    <row r="58" spans="1:15" ht="15" x14ac:dyDescent="0.25">
      <c r="A58" s="456"/>
      <c r="B58" s="116" t="s">
        <v>63</v>
      </c>
      <c r="C58" s="117" t="str">
        <f>SU_06001</f>
        <v>SU 06001</v>
      </c>
      <c r="D58" s="457" t="s">
        <v>11</v>
      </c>
      <c r="E58" s="457" t="s">
        <v>310</v>
      </c>
      <c r="F58" s="458" t="s">
        <v>311</v>
      </c>
      <c r="G58" s="457"/>
      <c r="H58" s="692">
        <f t="shared" si="22"/>
        <v>1.3710986506763019</v>
      </c>
      <c r="I58" s="693">
        <f>SU_06001_q*SU_A0600_q</f>
        <v>4</v>
      </c>
      <c r="J58" s="694">
        <f>SU_06001_m</f>
        <v>4.6098650676301943E-2</v>
      </c>
      <c r="K58" s="694">
        <f>SU_06001_p</f>
        <v>1.325</v>
      </c>
      <c r="L58" s="694">
        <v>0</v>
      </c>
      <c r="M58" s="694">
        <v>0</v>
      </c>
      <c r="N58" s="695">
        <f t="shared" si="21"/>
        <v>5.4843946027052075</v>
      </c>
      <c r="O58" s="459"/>
    </row>
    <row r="59" spans="1:15" ht="15" x14ac:dyDescent="0.25">
      <c r="A59" s="456"/>
      <c r="B59" s="691" t="str">
        <f>'SU A0600'!$B$3</f>
        <v>Suspension &amp; Shocks</v>
      </c>
      <c r="C59" s="117" t="str">
        <f>SU_06002</f>
        <v>SU 06002</v>
      </c>
      <c r="D59" s="457" t="s">
        <v>11</v>
      </c>
      <c r="E59" s="457" t="s">
        <v>310</v>
      </c>
      <c r="F59" s="458" t="s">
        <v>312</v>
      </c>
      <c r="G59" s="457"/>
      <c r="H59" s="692">
        <f t="shared" si="22"/>
        <v>1.5427786126391492</v>
      </c>
      <c r="I59" s="696">
        <f>SU_06002_q*SU_A0600_q</f>
        <v>2</v>
      </c>
      <c r="J59" s="694">
        <f>SU_06002_m</f>
        <v>5.4378612639149136E-2</v>
      </c>
      <c r="K59" s="694">
        <f>SU_06002_p</f>
        <v>1.4883999999999999</v>
      </c>
      <c r="L59" s="694">
        <v>0</v>
      </c>
      <c r="M59" s="694">
        <v>0</v>
      </c>
      <c r="N59" s="695">
        <f t="shared" si="21"/>
        <v>3.0855572252782983</v>
      </c>
      <c r="O59" s="459"/>
    </row>
    <row r="60" spans="1:15" ht="15" x14ac:dyDescent="0.25">
      <c r="A60" s="456"/>
      <c r="B60" s="691" t="str">
        <f>'SU A0600'!$B$3</f>
        <v>Suspension &amp; Shocks</v>
      </c>
      <c r="C60" s="117" t="str">
        <f>SU_06003</f>
        <v>SU 06003</v>
      </c>
      <c r="D60" s="457" t="s">
        <v>11</v>
      </c>
      <c r="E60" s="457" t="s">
        <v>310</v>
      </c>
      <c r="F60" s="458" t="s">
        <v>313</v>
      </c>
      <c r="G60" s="457"/>
      <c r="H60" s="692">
        <f t="shared" si="22"/>
        <v>0.88140624999999995</v>
      </c>
      <c r="I60" s="696">
        <f>SU_06003_q*SU_A0600_q</f>
        <v>4</v>
      </c>
      <c r="J60" s="694">
        <f>SU_06003_m</f>
        <v>0.39740625000000002</v>
      </c>
      <c r="K60" s="694">
        <f>SU_06003_p</f>
        <v>0.48399999999999999</v>
      </c>
      <c r="L60" s="694">
        <v>0</v>
      </c>
      <c r="M60" s="694">
        <v>0</v>
      </c>
      <c r="N60" s="695">
        <f t="shared" si="21"/>
        <v>3.5256249999999998</v>
      </c>
      <c r="O60" s="459"/>
    </row>
    <row r="61" spans="1:15" ht="15" x14ac:dyDescent="0.25">
      <c r="A61" s="456"/>
      <c r="B61" s="691" t="str">
        <f>'SU A0600'!$B$3</f>
        <v>Suspension &amp; Shocks</v>
      </c>
      <c r="C61" s="117" t="str">
        <f>SU_06004</f>
        <v>SU 06004</v>
      </c>
      <c r="D61" s="457" t="s">
        <v>11</v>
      </c>
      <c r="E61" s="457" t="s">
        <v>310</v>
      </c>
      <c r="F61" s="458" t="s">
        <v>314</v>
      </c>
      <c r="G61" s="457"/>
      <c r="H61" s="692">
        <f t="shared" si="22"/>
        <v>2.2702062500000002</v>
      </c>
      <c r="I61" s="696">
        <f>SU_06003_q*SU_A0600_q</f>
        <v>4</v>
      </c>
      <c r="J61" s="694">
        <f>SU_06004_m</f>
        <v>0.11480624999999998</v>
      </c>
      <c r="K61" s="694">
        <f>SU_06004_p</f>
        <v>2.1554000000000002</v>
      </c>
      <c r="L61" s="694">
        <v>0</v>
      </c>
      <c r="M61" s="694">
        <v>0</v>
      </c>
      <c r="N61" s="695">
        <f t="shared" si="21"/>
        <v>9.0808250000000008</v>
      </c>
      <c r="O61" s="459"/>
    </row>
    <row r="62" spans="1:15" ht="15" x14ac:dyDescent="0.25">
      <c r="A62" s="682"/>
      <c r="B62" s="683" t="str">
        <f>'SU A0600'!$B$3</f>
        <v>Suspension &amp; Shocks</v>
      </c>
      <c r="C62" s="111" t="str">
        <f>SU_A0700</f>
        <v>SU A0700</v>
      </c>
      <c r="D62" s="684" t="s">
        <v>11</v>
      </c>
      <c r="E62" s="684"/>
      <c r="F62" s="685" t="str">
        <f>'SU A0700'!B4</f>
        <v>Rear suspension</v>
      </c>
      <c r="G62" s="684"/>
      <c r="H62" s="686">
        <f t="shared" ref="H62:H63" si="23">SUM(J62:M62)</f>
        <v>335.02112416361354</v>
      </c>
      <c r="I62" s="687">
        <f>SU_A0700_q</f>
        <v>2</v>
      </c>
      <c r="J62" s="688">
        <f>SU_A0700_m</f>
        <v>330.04</v>
      </c>
      <c r="K62" s="688">
        <f>SU_A0700_p</f>
        <v>4.24</v>
      </c>
      <c r="L62" s="688">
        <f>SU_A0700_f</f>
        <v>0.40779083028016511</v>
      </c>
      <c r="M62" s="688">
        <f>SU_A0700_t</f>
        <v>0.33333333333333331</v>
      </c>
      <c r="N62" s="689">
        <f t="shared" si="21"/>
        <v>670.04224832722707</v>
      </c>
      <c r="O62" s="690"/>
    </row>
    <row r="63" spans="1:15" ht="15" x14ac:dyDescent="0.25">
      <c r="A63" s="456"/>
      <c r="B63" s="691" t="str">
        <f>'SU A0600'!$B$3</f>
        <v>Suspension &amp; Shocks</v>
      </c>
      <c r="C63" s="771" t="str">
        <f>SU_07001</f>
        <v>SU 07001</v>
      </c>
      <c r="D63" s="457" t="s">
        <v>11</v>
      </c>
      <c r="E63" s="457" t="str">
        <f>F62</f>
        <v>Rear suspension</v>
      </c>
      <c r="F63" s="458" t="str">
        <f>'SU 07001'!B5</f>
        <v>Shock rear Bracket</v>
      </c>
      <c r="G63" s="457"/>
      <c r="H63" s="692">
        <f t="shared" si="23"/>
        <v>5.9234014172552163</v>
      </c>
      <c r="I63" s="693">
        <f>SU_07001_q*SU_A0700_q</f>
        <v>2</v>
      </c>
      <c r="J63" s="694">
        <f>SU_07001_m</f>
        <v>0.38660141725521602</v>
      </c>
      <c r="K63" s="694">
        <f>SU_07001_p</f>
        <v>5.5368000000000004</v>
      </c>
      <c r="L63" s="694">
        <v>0</v>
      </c>
      <c r="M63" s="694">
        <v>0</v>
      </c>
      <c r="N63" s="695">
        <f t="shared" si="21"/>
        <v>11.846802834510433</v>
      </c>
      <c r="O63" s="459"/>
    </row>
    <row r="64" spans="1:15" ht="15" x14ac:dyDescent="0.25">
      <c r="A64" s="109"/>
      <c r="B64" s="683" t="str">
        <f>'SU A0600'!$B$3</f>
        <v>Suspension &amp; Shocks</v>
      </c>
      <c r="C64" s="111" t="str">
        <f>SU_A0800</f>
        <v>SU A0800</v>
      </c>
      <c r="D64" s="111" t="s">
        <v>11</v>
      </c>
      <c r="E64" s="111"/>
      <c r="F64" s="257" t="s">
        <v>366</v>
      </c>
      <c r="G64" s="111"/>
      <c r="H64" s="112">
        <f t="shared" ref="H64:H67" si="24">SUM(J64:M64)</f>
        <v>4.8177252544509166</v>
      </c>
      <c r="I64" s="668">
        <f>SU_A0800_q</f>
        <v>2</v>
      </c>
      <c r="J64" s="113">
        <f>SU_A0800_m</f>
        <v>0.2</v>
      </c>
      <c r="K64" s="113">
        <f>SU_A0800_p</f>
        <v>3.5024999999999999</v>
      </c>
      <c r="L64" s="113">
        <f>SU_A0800_f</f>
        <v>0.11522525445091675</v>
      </c>
      <c r="M64" s="113">
        <f>SU_A0800_t</f>
        <v>1</v>
      </c>
      <c r="N64" s="114">
        <f t="shared" si="21"/>
        <v>9.6354505089018332</v>
      </c>
      <c r="O64" s="115"/>
    </row>
    <row r="65" spans="1:15" ht="15" x14ac:dyDescent="0.25">
      <c r="A65" s="116"/>
      <c r="B65" s="691" t="str">
        <f>'SU A0600'!$B$3</f>
        <v>Suspension &amp; Shocks</v>
      </c>
      <c r="C65" s="771" t="str">
        <f>SU_08001</f>
        <v>SU 08001</v>
      </c>
      <c r="D65" s="117" t="s">
        <v>11</v>
      </c>
      <c r="E65" s="117" t="str">
        <f>$F$64</f>
        <v>Rear Bell Cranck</v>
      </c>
      <c r="F65" s="118" t="s">
        <v>311</v>
      </c>
      <c r="G65" s="117"/>
      <c r="H65" s="119">
        <f t="shared" si="24"/>
        <v>1.3710986506763019</v>
      </c>
      <c r="I65" s="669">
        <f>SU_08001_q*SU_A0800_q</f>
        <v>4</v>
      </c>
      <c r="J65" s="120">
        <f>SU_08001_m</f>
        <v>4.6098650676301943E-2</v>
      </c>
      <c r="K65" s="120">
        <f>SU_08001_p</f>
        <v>1.325</v>
      </c>
      <c r="L65" s="120">
        <v>0</v>
      </c>
      <c r="M65" s="120">
        <v>0</v>
      </c>
      <c r="N65" s="121">
        <f t="shared" si="21"/>
        <v>5.4843946027052075</v>
      </c>
      <c r="O65" s="122"/>
    </row>
    <row r="66" spans="1:15" ht="15" x14ac:dyDescent="0.25">
      <c r="A66" s="116"/>
      <c r="B66" s="775" t="str">
        <f>'SU A0800'!$B$3</f>
        <v>Suspension &amp; Shocks</v>
      </c>
      <c r="C66" s="771" t="str">
        <f>SU_08002</f>
        <v>SU 08002</v>
      </c>
      <c r="D66" s="117" t="s">
        <v>11</v>
      </c>
      <c r="E66" s="117" t="str">
        <f t="shared" ref="E66:E67" si="25">$F$64</f>
        <v>Rear Bell Cranck</v>
      </c>
      <c r="F66" s="118" t="s">
        <v>313</v>
      </c>
      <c r="G66" s="117"/>
      <c r="H66" s="119">
        <f t="shared" si="24"/>
        <v>2.0644187499999997</v>
      </c>
      <c r="I66" s="123">
        <f>SU_08002_q*SU_A0800_q</f>
        <v>4</v>
      </c>
      <c r="J66" s="120">
        <f>SU_08002_m</f>
        <v>0.34441874999999994</v>
      </c>
      <c r="K66" s="120">
        <f>SU_08002_p</f>
        <v>1.72</v>
      </c>
      <c r="L66" s="120">
        <v>0</v>
      </c>
      <c r="M66" s="120">
        <v>0</v>
      </c>
      <c r="N66" s="121">
        <f t="shared" si="21"/>
        <v>8.257674999999999</v>
      </c>
      <c r="O66" s="122"/>
    </row>
    <row r="67" spans="1:15" ht="15" x14ac:dyDescent="0.25">
      <c r="A67" s="116"/>
      <c r="B67" s="775" t="str">
        <f>'SU A0800'!$B$3</f>
        <v>Suspension &amp; Shocks</v>
      </c>
      <c r="C67" s="771" t="str">
        <f>SU_08003</f>
        <v>SU 08003</v>
      </c>
      <c r="D67" s="117" t="s">
        <v>11</v>
      </c>
      <c r="E67" s="117" t="str">
        <f t="shared" si="25"/>
        <v>Rear Bell Cranck</v>
      </c>
      <c r="F67" s="118" t="s">
        <v>367</v>
      </c>
      <c r="G67" s="117"/>
      <c r="H67" s="119">
        <f t="shared" si="24"/>
        <v>3.3779399999999997</v>
      </c>
      <c r="I67" s="123">
        <f>SU_08003_q*SU_A0800_q</f>
        <v>2</v>
      </c>
      <c r="J67" s="120">
        <f>SU_08003_m</f>
        <v>0.81953999999999994</v>
      </c>
      <c r="K67" s="120">
        <f>SU_08003_p</f>
        <v>2.5583999999999998</v>
      </c>
      <c r="L67" s="120">
        <v>0</v>
      </c>
      <c r="M67" s="120">
        <v>0</v>
      </c>
      <c r="N67" s="121">
        <f t="shared" si="21"/>
        <v>6.7558799999999994</v>
      </c>
      <c r="O67" s="122"/>
    </row>
    <row r="68" spans="1:15" ht="15" x14ac:dyDescent="0.25">
      <c r="A68" s="109"/>
      <c r="B68" s="683" t="str">
        <f>'SU A0600'!$B$3</f>
        <v>Suspension &amp; Shocks</v>
      </c>
      <c r="C68" s="111" t="str">
        <f>SU_A0900</f>
        <v>SU A0900</v>
      </c>
      <c r="D68" s="111" t="s">
        <v>11</v>
      </c>
      <c r="E68" s="111"/>
      <c r="F68" s="257" t="str">
        <f>'SU A0900'!B4</f>
        <v xml:space="preserve">Rear Tie rod  </v>
      </c>
      <c r="G68" s="111"/>
      <c r="H68" s="112">
        <f t="shared" ref="H68:H71" si="26">SUM(J68:M68)</f>
        <v>13.655876325139229</v>
      </c>
      <c r="I68" s="668">
        <f>SU_A0900_q</f>
        <v>2</v>
      </c>
      <c r="J68" s="113">
        <f>SU_A0900_m</f>
        <v>5</v>
      </c>
      <c r="K68" s="113">
        <f>SU_A0900_p</f>
        <v>8.0960000000000001</v>
      </c>
      <c r="L68" s="113">
        <f>SU_A0900_f</f>
        <v>0.55987632513922869</v>
      </c>
      <c r="M68" s="113">
        <v>0</v>
      </c>
      <c r="N68" s="114">
        <f t="shared" ref="N68:N71" si="27">H68*I68</f>
        <v>27.311752650278457</v>
      </c>
      <c r="O68" s="115"/>
    </row>
    <row r="69" spans="1:15" ht="15" x14ac:dyDescent="0.25">
      <c r="A69" s="116"/>
      <c r="B69" s="691" t="str">
        <f>'SU A0600'!$B$3</f>
        <v>Suspension &amp; Shocks</v>
      </c>
      <c r="C69" s="771" t="str">
        <f>SU_09001</f>
        <v>SU 09001</v>
      </c>
      <c r="D69" s="117" t="s">
        <v>11</v>
      </c>
      <c r="E69" s="117" t="str">
        <f>$F$68</f>
        <v xml:space="preserve">Rear Tie rod  </v>
      </c>
      <c r="F69" s="118" t="str">
        <f>'SU 09001'!B5</f>
        <v>Tie rod tube</v>
      </c>
      <c r="G69" s="117"/>
      <c r="H69" s="119">
        <f t="shared" si="26"/>
        <v>9.0687098494115101</v>
      </c>
      <c r="I69" s="669">
        <f>SU_09001_q*SU_A0900_q</f>
        <v>2</v>
      </c>
      <c r="J69" s="120">
        <f>SU_09001_m</f>
        <v>8.0610754216991207</v>
      </c>
      <c r="K69" s="120">
        <f>SU_09001_p</f>
        <v>1.0076344277123901</v>
      </c>
      <c r="L69" s="120">
        <v>0</v>
      </c>
      <c r="M69" s="120">
        <v>0</v>
      </c>
      <c r="N69" s="121">
        <f t="shared" si="27"/>
        <v>18.13741969882302</v>
      </c>
      <c r="O69" s="122"/>
    </row>
    <row r="70" spans="1:15" ht="15" x14ac:dyDescent="0.25">
      <c r="A70" s="116"/>
      <c r="B70" s="775" t="str">
        <f>'SU A0800'!$B$3</f>
        <v>Suspension &amp; Shocks</v>
      </c>
      <c r="C70" s="771" t="str">
        <f>SU_09002</f>
        <v>SU 09002</v>
      </c>
      <c r="D70" s="117" t="s">
        <v>11</v>
      </c>
      <c r="E70" s="117" t="str">
        <f t="shared" ref="E70:E72" si="28">$F$68</f>
        <v xml:space="preserve">Rear Tie rod  </v>
      </c>
      <c r="F70" s="118" t="str">
        <f>'SU 09002'!B5</f>
        <v>Tie rod insert</v>
      </c>
      <c r="G70" s="117"/>
      <c r="H70" s="119">
        <f t="shared" si="26"/>
        <v>1.5833945082514056</v>
      </c>
      <c r="I70" s="123">
        <f>SU_09002_q*SU_A0900_q</f>
        <v>4</v>
      </c>
      <c r="J70" s="120">
        <f>SU_09002_m</f>
        <v>0.29364450825140537</v>
      </c>
      <c r="K70" s="120">
        <f>SU_09002_p</f>
        <v>1.2897500000000002</v>
      </c>
      <c r="L70" s="120">
        <v>0</v>
      </c>
      <c r="M70" s="120">
        <v>0</v>
      </c>
      <c r="N70" s="121">
        <f t="shared" si="27"/>
        <v>6.3335780330056224</v>
      </c>
      <c r="O70" s="122"/>
    </row>
    <row r="71" spans="1:15" ht="15" x14ac:dyDescent="0.25">
      <c r="A71" s="116"/>
      <c r="B71" s="775" t="str">
        <f>'SU A0800'!$B$3</f>
        <v>Suspension &amp; Shocks</v>
      </c>
      <c r="C71" s="771" t="str">
        <f>SU_09003</f>
        <v>SU 09003</v>
      </c>
      <c r="D71" s="117" t="s">
        <v>11</v>
      </c>
      <c r="E71" s="117" t="str">
        <f t="shared" si="28"/>
        <v xml:space="preserve">Rear Tie rod  </v>
      </c>
      <c r="F71" s="1032" t="str">
        <f>'SU 09003'!B5</f>
        <v>Spacer 1</v>
      </c>
      <c r="G71" s="117"/>
      <c r="H71" s="119">
        <f t="shared" si="26"/>
        <v>0.23905539548753352</v>
      </c>
      <c r="I71" s="123">
        <f>SU_09003_q*SU_A0900_q</f>
        <v>4</v>
      </c>
      <c r="J71" s="120">
        <f>SU_09003_m</f>
        <v>5.6820101369886439E-2</v>
      </c>
      <c r="K71" s="120">
        <f>SU_09003_p</f>
        <v>0.18223529411764708</v>
      </c>
      <c r="L71" s="120">
        <v>0</v>
      </c>
      <c r="M71" s="120">
        <v>0</v>
      </c>
      <c r="N71" s="121">
        <f t="shared" si="27"/>
        <v>0.95622158195013407</v>
      </c>
      <c r="O71" s="122"/>
    </row>
    <row r="72" spans="1:15" ht="15" x14ac:dyDescent="0.25">
      <c r="A72" s="116"/>
      <c r="B72" s="775" t="str">
        <f>'SU A0800'!$B$3</f>
        <v>Suspension &amp; Shocks</v>
      </c>
      <c r="C72" s="771" t="str">
        <f>SU_09004</f>
        <v>SU 09004</v>
      </c>
      <c r="D72" s="117" t="s">
        <v>11</v>
      </c>
      <c r="E72" s="117" t="str">
        <f t="shared" si="28"/>
        <v xml:space="preserve">Rear Tie rod  </v>
      </c>
      <c r="F72" s="1032" t="str">
        <f>'SU 09004'!B5</f>
        <v>Spacer 2</v>
      </c>
      <c r="G72" s="117"/>
      <c r="H72" s="119">
        <f t="shared" ref="H72:H76" si="29">SUM(J72:M72)</f>
        <v>1.0636402027397729</v>
      </c>
      <c r="I72" s="123">
        <f>SU_09004_q*SU_A0900_q</f>
        <v>4</v>
      </c>
      <c r="J72" s="120">
        <f>SU_09004_m</f>
        <v>0.11364020273977288</v>
      </c>
      <c r="K72" s="120">
        <f>SU_09004_p</f>
        <v>0.95000000000000007</v>
      </c>
      <c r="L72" s="120">
        <v>0</v>
      </c>
      <c r="M72" s="120">
        <v>0</v>
      </c>
      <c r="N72" s="121">
        <f t="shared" ref="N72:N76" si="30">H72*I72</f>
        <v>4.2545608109590916</v>
      </c>
      <c r="O72" s="122"/>
    </row>
    <row r="73" spans="1:15" ht="15" x14ac:dyDescent="0.25">
      <c r="A73" s="109"/>
      <c r="B73" s="683" t="str">
        <f>'SU A0600'!$B$3</f>
        <v>Suspension &amp; Shocks</v>
      </c>
      <c r="C73" s="111" t="str">
        <f>SU_A1000</f>
        <v>SU A1000</v>
      </c>
      <c r="D73" s="111" t="s">
        <v>11</v>
      </c>
      <c r="E73" s="111"/>
      <c r="F73" s="257" t="str">
        <f>'SU A1000'!B4</f>
        <v>Front Uprights</v>
      </c>
      <c r="G73" s="111"/>
      <c r="H73" s="112">
        <f t="shared" si="29"/>
        <v>16.481887142858277</v>
      </c>
      <c r="I73" s="668">
        <f>SU_A1000_q</f>
        <v>2</v>
      </c>
      <c r="J73" s="113">
        <v>0</v>
      </c>
      <c r="K73" s="113">
        <f>SU_A1000_p</f>
        <v>15.46</v>
      </c>
      <c r="L73" s="113">
        <f>SU_A1000_f</f>
        <v>1.0218871428582772</v>
      </c>
      <c r="M73" s="113">
        <v>0</v>
      </c>
      <c r="N73" s="114">
        <f t="shared" si="30"/>
        <v>32.963774285716553</v>
      </c>
      <c r="O73" s="115"/>
    </row>
    <row r="74" spans="1:15" ht="15" x14ac:dyDescent="0.25">
      <c r="A74" s="116"/>
      <c r="B74" s="691" t="str">
        <f>'SU A0600'!$B$3</f>
        <v>Suspension &amp; Shocks</v>
      </c>
      <c r="C74" s="771" t="str">
        <f>SU_10001</f>
        <v>SU 10001</v>
      </c>
      <c r="D74" s="117" t="s">
        <v>11</v>
      </c>
      <c r="E74" s="117" t="str">
        <f>$F$73</f>
        <v>Front Uprights</v>
      </c>
      <c r="F74" s="118" t="str">
        <f>'SU 10001'!B5</f>
        <v>Front Upright</v>
      </c>
      <c r="G74" s="117"/>
      <c r="H74" s="119">
        <f t="shared" si="29"/>
        <v>106.18580800000001</v>
      </c>
      <c r="I74" s="669">
        <f>SU_10001_q*SU_A1000_q</f>
        <v>2</v>
      </c>
      <c r="J74" s="120">
        <f>SU_10001_m</f>
        <v>28.703808000000002</v>
      </c>
      <c r="K74" s="120">
        <f>SU_10001_p</f>
        <v>77.482000000000014</v>
      </c>
      <c r="L74" s="120">
        <v>0</v>
      </c>
      <c r="M74" s="120">
        <v>0</v>
      </c>
      <c r="N74" s="121">
        <f t="shared" si="30"/>
        <v>212.37161600000002</v>
      </c>
      <c r="O74" s="122"/>
    </row>
    <row r="75" spans="1:15" ht="15" x14ac:dyDescent="0.25">
      <c r="A75" s="116"/>
      <c r="B75" s="775" t="str">
        <f>'SU A0800'!$B$3</f>
        <v>Suspension &amp; Shocks</v>
      </c>
      <c r="C75" s="771" t="str">
        <f>SU_10002</f>
        <v>SU 10002</v>
      </c>
      <c r="D75" s="117" t="s">
        <v>11</v>
      </c>
      <c r="E75" s="117" t="str">
        <f t="shared" ref="E75:E77" si="31">$F$73</f>
        <v>Front Uprights</v>
      </c>
      <c r="F75" s="118" t="str">
        <f>'SU 10002'!B5</f>
        <v>Upper Arm Wedge</v>
      </c>
      <c r="G75" s="117"/>
      <c r="H75" s="119">
        <f t="shared" si="29"/>
        <v>2.5052785600000003</v>
      </c>
      <c r="I75" s="123">
        <f>SU_10002_q*SU_A1000_q</f>
        <v>2</v>
      </c>
      <c r="J75" s="120">
        <f>SU_10002_m</f>
        <v>0.21527856000000004</v>
      </c>
      <c r="K75" s="120">
        <f>SU_10002_p</f>
        <v>2.29</v>
      </c>
      <c r="L75" s="120">
        <v>0</v>
      </c>
      <c r="M75" s="120">
        <v>0</v>
      </c>
      <c r="N75" s="121">
        <f t="shared" si="30"/>
        <v>5.0105571200000005</v>
      </c>
      <c r="O75" s="122"/>
    </row>
    <row r="76" spans="1:15" ht="15" x14ac:dyDescent="0.25">
      <c r="A76" s="116"/>
      <c r="B76" s="775" t="str">
        <f>'SU A0800'!$B$3</f>
        <v>Suspension &amp; Shocks</v>
      </c>
      <c r="C76" s="771" t="str">
        <f>SU_10003</f>
        <v>SU 10003</v>
      </c>
      <c r="D76" s="117" t="s">
        <v>11</v>
      </c>
      <c r="E76" s="117" t="str">
        <f t="shared" si="31"/>
        <v>Front Uprights</v>
      </c>
      <c r="F76" s="1033" t="str">
        <f>'SU 10003'!B5</f>
        <v>Upper Arm Bracket</v>
      </c>
      <c r="G76" s="117"/>
      <c r="H76" s="119">
        <f t="shared" si="29"/>
        <v>18.677843750000001</v>
      </c>
      <c r="I76" s="123">
        <f>SU_10003_q*SU_A1000_q</f>
        <v>2</v>
      </c>
      <c r="J76" s="120">
        <f>SU_10003_m</f>
        <v>2.7818437500000002</v>
      </c>
      <c r="K76" s="120">
        <f>SU_10003_p</f>
        <v>15.896000000000001</v>
      </c>
      <c r="L76" s="120">
        <v>0</v>
      </c>
      <c r="M76" s="120">
        <v>0</v>
      </c>
      <c r="N76" s="121">
        <f t="shared" si="30"/>
        <v>37.355687500000002</v>
      </c>
      <c r="O76" s="122"/>
    </row>
    <row r="77" spans="1:15" ht="15" x14ac:dyDescent="0.25">
      <c r="A77" s="116"/>
      <c r="B77" s="775" t="str">
        <f>'SU A0800'!$B$3</f>
        <v>Suspension &amp; Shocks</v>
      </c>
      <c r="C77" s="771" t="str">
        <f>SU_10004</f>
        <v>SU 10004</v>
      </c>
      <c r="D77" s="117" t="s">
        <v>11</v>
      </c>
      <c r="E77" s="117" t="str">
        <f t="shared" si="31"/>
        <v>Front Uprights</v>
      </c>
      <c r="F77" s="1033" t="str">
        <f>'SU 10004'!B5</f>
        <v>Speed Sensor Bracket</v>
      </c>
      <c r="G77" s="117"/>
      <c r="H77" s="119">
        <f t="shared" ref="H77" si="32">SUM(J77:M77)</f>
        <v>0.83572750000000007</v>
      </c>
      <c r="I77" s="123">
        <f>SU_10004_q*SU_A1000_q</f>
        <v>2</v>
      </c>
      <c r="J77" s="120">
        <f>SU_10004_m</f>
        <v>2.4727499999999999E-2</v>
      </c>
      <c r="K77" s="120">
        <f>SU_10004_p</f>
        <v>0.81100000000000005</v>
      </c>
      <c r="L77" s="120">
        <v>0</v>
      </c>
      <c r="M77" s="120">
        <v>0</v>
      </c>
      <c r="N77" s="121">
        <f t="shared" ref="N77" si="33">H77*I77</f>
        <v>1.6714550000000001</v>
      </c>
      <c r="O77" s="122"/>
    </row>
    <row r="78" spans="1:15" ht="15" x14ac:dyDescent="0.25">
      <c r="A78" s="116"/>
      <c r="B78" s="775" t="str">
        <f>'SU A0800'!$B$3</f>
        <v>Suspension &amp; Shocks</v>
      </c>
      <c r="C78" s="771" t="str">
        <f>SU_10005</f>
        <v>SU 10005</v>
      </c>
      <c r="D78" s="117" t="s">
        <v>11</v>
      </c>
      <c r="E78" s="117" t="str">
        <f>$F$73</f>
        <v>Front Uprights</v>
      </c>
      <c r="F78" s="1033" t="str">
        <f>'SU 10005'!B5</f>
        <v>Camber adjustment shim</v>
      </c>
      <c r="G78" s="117"/>
      <c r="H78" s="119">
        <f t="shared" ref="H78:H83" si="34">SUM(J78:M78)</f>
        <v>0.42691833333333334</v>
      </c>
      <c r="I78" s="123">
        <f>SU_10005_q*SU_A1000_q</f>
        <v>30</v>
      </c>
      <c r="J78" s="120">
        <f>SU_10005_m</f>
        <v>6.3585000000000003E-2</v>
      </c>
      <c r="K78" s="120">
        <f>SU_10005_p</f>
        <v>0.36333333333333334</v>
      </c>
      <c r="L78" s="120">
        <v>0</v>
      </c>
      <c r="M78" s="120">
        <v>0</v>
      </c>
      <c r="N78" s="121">
        <f t="shared" ref="N78:N87" si="35">H78*I78</f>
        <v>12.807550000000001</v>
      </c>
      <c r="O78" s="122"/>
    </row>
    <row r="79" spans="1:15" ht="15" x14ac:dyDescent="0.25">
      <c r="A79" s="109"/>
      <c r="B79" s="683" t="str">
        <f>'SU A0600'!$B$3</f>
        <v>Suspension &amp; Shocks</v>
      </c>
      <c r="C79" s="111" t="str">
        <f>SU_A1100</f>
        <v>SU A1100</v>
      </c>
      <c r="D79" s="111" t="s">
        <v>11</v>
      </c>
      <c r="E79" s="111"/>
      <c r="F79" s="257" t="str">
        <f>'SU A1100 '!B4</f>
        <v>Rear Uprights</v>
      </c>
      <c r="G79" s="111"/>
      <c r="H79" s="112">
        <f t="shared" si="34"/>
        <v>17.410454335645525</v>
      </c>
      <c r="I79" s="668">
        <f>SU_A1100_q</f>
        <v>2</v>
      </c>
      <c r="J79" s="113">
        <v>0</v>
      </c>
      <c r="K79" s="113">
        <f>SU_A1100_p</f>
        <v>16.329999999999998</v>
      </c>
      <c r="L79" s="113">
        <f>SU_A1100_f</f>
        <v>1.0804543356455256</v>
      </c>
      <c r="M79" s="113">
        <v>0</v>
      </c>
      <c r="N79" s="114">
        <f t="shared" si="35"/>
        <v>34.82090867129105</v>
      </c>
      <c r="O79" s="115"/>
    </row>
    <row r="80" spans="1:15" ht="15" x14ac:dyDescent="0.25">
      <c r="A80" s="116"/>
      <c r="B80" s="691" t="str">
        <f>'SU A0600'!$B$3</f>
        <v>Suspension &amp; Shocks</v>
      </c>
      <c r="C80" s="771" t="str">
        <f>SU_11001</f>
        <v>SU 11001</v>
      </c>
      <c r="D80" s="117" t="s">
        <v>11</v>
      </c>
      <c r="E80" s="117" t="str">
        <f>$F$79</f>
        <v>Rear Uprights</v>
      </c>
      <c r="F80" s="118" t="str">
        <f>'SU 11001'!B5</f>
        <v>Rear Upright</v>
      </c>
      <c r="G80" s="117"/>
      <c r="H80" s="119">
        <f t="shared" si="34"/>
        <v>106.51997000000001</v>
      </c>
      <c r="I80" s="669">
        <f>SU_11001_q*SU_A1100_q</f>
        <v>2</v>
      </c>
      <c r="J80" s="120">
        <f>SU_11001_m</f>
        <v>25.84197</v>
      </c>
      <c r="K80" s="120">
        <f>SU_11001_p</f>
        <v>80.678000000000011</v>
      </c>
      <c r="L80" s="120">
        <v>0</v>
      </c>
      <c r="M80" s="120">
        <v>0</v>
      </c>
      <c r="N80" s="121">
        <f t="shared" si="35"/>
        <v>213.03994000000003</v>
      </c>
      <c r="O80" s="122"/>
    </row>
    <row r="81" spans="1:15" ht="15" x14ac:dyDescent="0.25">
      <c r="A81" s="116"/>
      <c r="B81" s="775" t="str">
        <f>'SU A0800'!$B$3</f>
        <v>Suspension &amp; Shocks</v>
      </c>
      <c r="C81" s="771" t="str">
        <f>SU_11002</f>
        <v>SU 11002</v>
      </c>
      <c r="D81" s="117" t="s">
        <v>11</v>
      </c>
      <c r="E81" s="117" t="str">
        <f t="shared" ref="E81:E83" si="36">$F$79</f>
        <v>Rear Uprights</v>
      </c>
      <c r="F81" s="118" t="str">
        <f>'SU 11002'!B5</f>
        <v>Upper Arm Bracket</v>
      </c>
      <c r="G81" s="117"/>
      <c r="H81" s="119">
        <f t="shared" si="34"/>
        <v>21.194420000000001</v>
      </c>
      <c r="I81" s="123">
        <f>SU_11002_q*SU_A1100_q</f>
        <v>2</v>
      </c>
      <c r="J81" s="120">
        <f>SU_11002_m</f>
        <v>3.3064199999999997</v>
      </c>
      <c r="K81" s="120">
        <f>SU_11002_p</f>
        <v>17.888000000000002</v>
      </c>
      <c r="L81" s="120">
        <v>0</v>
      </c>
      <c r="M81" s="120">
        <v>0</v>
      </c>
      <c r="N81" s="121">
        <f t="shared" si="35"/>
        <v>42.388840000000002</v>
      </c>
      <c r="O81" s="122"/>
    </row>
    <row r="82" spans="1:15" ht="15" x14ac:dyDescent="0.25">
      <c r="A82" s="116"/>
      <c r="B82" s="775" t="str">
        <f>'SU A0800'!$B$3</f>
        <v>Suspension &amp; Shocks</v>
      </c>
      <c r="C82" s="771" t="str">
        <f>SU_11003</f>
        <v>SU 11003</v>
      </c>
      <c r="D82" s="117" t="s">
        <v>11</v>
      </c>
      <c r="E82" s="117" t="str">
        <f t="shared" si="36"/>
        <v>Rear Uprights</v>
      </c>
      <c r="F82" s="1033" t="str">
        <f>'SU 11003'!B5</f>
        <v>Speed Sensor Bracket</v>
      </c>
      <c r="G82" s="117"/>
      <c r="H82" s="119">
        <f t="shared" si="34"/>
        <v>0.82576020000000006</v>
      </c>
      <c r="I82" s="123">
        <f>SU_11003_q*SU_A1100_q</f>
        <v>2</v>
      </c>
      <c r="J82" s="120">
        <f>SU_11003_m</f>
        <v>2.17602E-2</v>
      </c>
      <c r="K82" s="120">
        <f>SU_11003_p</f>
        <v>0.80400000000000005</v>
      </c>
      <c r="L82" s="120">
        <v>0</v>
      </c>
      <c r="M82" s="120">
        <v>0</v>
      </c>
      <c r="N82" s="121">
        <f t="shared" si="35"/>
        <v>1.6515204000000001</v>
      </c>
      <c r="O82" s="122"/>
    </row>
    <row r="83" spans="1:15" ht="15" x14ac:dyDescent="0.25">
      <c r="A83" s="116"/>
      <c r="B83" s="775" t="str">
        <f>'SU A0800'!$B$3</f>
        <v>Suspension &amp; Shocks</v>
      </c>
      <c r="C83" s="771" t="str">
        <f>SU_11004</f>
        <v>SU 11004</v>
      </c>
      <c r="D83" s="117" t="s">
        <v>11</v>
      </c>
      <c r="E83" s="117" t="str">
        <f t="shared" si="36"/>
        <v>Rear Uprights</v>
      </c>
      <c r="F83" s="1033" t="str">
        <f>'SU 11004'!B5</f>
        <v>Camber adjustment shim</v>
      </c>
      <c r="G83" s="117"/>
      <c r="H83" s="119">
        <f t="shared" si="34"/>
        <v>0.42454853333333331</v>
      </c>
      <c r="I83" s="123">
        <f>SU_11004_q*SU_A1100_q</f>
        <v>30</v>
      </c>
      <c r="J83" s="120">
        <f>SU_11004_m</f>
        <v>7.1215199999999992E-2</v>
      </c>
      <c r="K83" s="120">
        <f>SU_11004_p</f>
        <v>0.35333333333333333</v>
      </c>
      <c r="L83" s="120">
        <v>0</v>
      </c>
      <c r="M83" s="120">
        <v>0</v>
      </c>
      <c r="N83" s="121">
        <f t="shared" si="35"/>
        <v>12.736455999999999</v>
      </c>
      <c r="O83" s="122"/>
    </row>
    <row r="84" spans="1:15" ht="15" x14ac:dyDescent="0.25">
      <c r="A84" s="1126"/>
      <c r="B84" s="110" t="str">
        <f>'SU A0800'!$B$3</f>
        <v>Suspension &amp; Shocks</v>
      </c>
      <c r="C84" s="1127" t="str">
        <f>SU_A1200</f>
        <v>SU A1200</v>
      </c>
      <c r="D84" s="1127" t="s">
        <v>11</v>
      </c>
      <c r="E84" s="1127"/>
      <c r="F84" s="1128" t="str">
        <f>'SU A1200'!B4</f>
        <v>Front Pullrod</v>
      </c>
      <c r="G84" s="1127"/>
      <c r="H84" s="1129">
        <f t="shared" ref="H84:H87" si="37">SUM(J84:M84)</f>
        <v>9.8514179810150431</v>
      </c>
      <c r="I84" s="1130">
        <f>SU_A1200_q</f>
        <v>2</v>
      </c>
      <c r="J84" s="1131">
        <f>SU_A1200_m</f>
        <v>5</v>
      </c>
      <c r="K84" s="1131">
        <f>SU_A1200_p</f>
        <v>4.3660000000000005</v>
      </c>
      <c r="L84" s="1131">
        <f>SU_A1200_f</f>
        <v>0.48541798101504374</v>
      </c>
      <c r="M84" s="1131">
        <v>0</v>
      </c>
      <c r="N84" s="1132">
        <f t="shared" si="35"/>
        <v>19.702835962030086</v>
      </c>
      <c r="O84" s="1133"/>
    </row>
    <row r="85" spans="1:15" ht="15" x14ac:dyDescent="0.25">
      <c r="A85" s="1134"/>
      <c r="B85" s="775" t="str">
        <f>'SU A0800'!$B$3</f>
        <v>Suspension &amp; Shocks</v>
      </c>
      <c r="C85" s="771" t="str">
        <f>SU_12001</f>
        <v>SU 12001</v>
      </c>
      <c r="D85" s="1135" t="s">
        <v>11</v>
      </c>
      <c r="E85" s="1135" t="str">
        <f>$F$84</f>
        <v>Front Pullrod</v>
      </c>
      <c r="F85" s="118" t="str">
        <f>'SU 12001'!B5</f>
        <v>Pullrod tube</v>
      </c>
      <c r="G85" s="1135"/>
      <c r="H85" s="1136">
        <f t="shared" si="37"/>
        <v>9.0687098494115101</v>
      </c>
      <c r="I85" s="1137">
        <f>SU_12001_q*SU_A1200_q</f>
        <v>2</v>
      </c>
      <c r="J85" s="1138">
        <f>SU_12001_m</f>
        <v>8.0610754216991207</v>
      </c>
      <c r="K85" s="1138">
        <f>SU_12001_p</f>
        <v>1.0076344277123901</v>
      </c>
      <c r="L85" s="1138">
        <v>0</v>
      </c>
      <c r="M85" s="1138">
        <v>0</v>
      </c>
      <c r="N85" s="1139">
        <f t="shared" si="35"/>
        <v>18.13741969882302</v>
      </c>
      <c r="O85" s="1140"/>
    </row>
    <row r="86" spans="1:15" ht="15" x14ac:dyDescent="0.25">
      <c r="A86" s="1134"/>
      <c r="B86" s="775" t="str">
        <f>'SU A0800'!$B$3</f>
        <v>Suspension &amp; Shocks</v>
      </c>
      <c r="C86" s="771" t="str">
        <f>SU_12002</f>
        <v>SU 12002</v>
      </c>
      <c r="D86" s="1135" t="s">
        <v>11</v>
      </c>
      <c r="E86" s="1135" t="str">
        <f t="shared" ref="E86:E87" si="38">$F$84</f>
        <v>Front Pullrod</v>
      </c>
      <c r="F86" s="118" t="str">
        <f>'SU 12002'!B5</f>
        <v>Pullrod insert</v>
      </c>
      <c r="G86" s="1135"/>
      <c r="H86" s="1136">
        <f t="shared" si="37"/>
        <v>1.5833945082514056</v>
      </c>
      <c r="I86" s="1141">
        <f>SU_12002_q*SU_A1200_q</f>
        <v>4</v>
      </c>
      <c r="J86" s="1138">
        <f>SU_12002_m</f>
        <v>0.29364450825140531</v>
      </c>
      <c r="K86" s="1138">
        <f>SU_12002_p</f>
        <v>1.2897500000000002</v>
      </c>
      <c r="L86" s="1138">
        <v>0</v>
      </c>
      <c r="M86" s="1138">
        <v>0</v>
      </c>
      <c r="N86" s="1139">
        <f t="shared" si="35"/>
        <v>6.3335780330056224</v>
      </c>
      <c r="O86" s="1140"/>
    </row>
    <row r="87" spans="1:15" ht="15" x14ac:dyDescent="0.25">
      <c r="A87" s="1142"/>
      <c r="B87" s="775" t="str">
        <f>'SU A0800'!$B$3</f>
        <v>Suspension &amp; Shocks</v>
      </c>
      <c r="C87" s="771" t="str">
        <f>SU_12003</f>
        <v>SU 12003</v>
      </c>
      <c r="D87" s="255" t="s">
        <v>11</v>
      </c>
      <c r="E87" s="1135" t="str">
        <f t="shared" si="38"/>
        <v>Front Pullrod</v>
      </c>
      <c r="F87" s="1032" t="str">
        <f>'SU 12003'!B5</f>
        <v>Spacer 1</v>
      </c>
      <c r="G87" s="255"/>
      <c r="H87" s="1136">
        <f t="shared" si="37"/>
        <v>0.34825628167808953</v>
      </c>
      <c r="I87" s="1141">
        <f>SU_12003_q*SU_A1200_q</f>
        <v>4</v>
      </c>
      <c r="J87" s="1138">
        <f>SU_12003_m</f>
        <v>1.7756281678089514E-2</v>
      </c>
      <c r="K87" s="1138">
        <f>SU_12003_p</f>
        <v>0.33050000000000002</v>
      </c>
      <c r="L87" s="1138">
        <v>0</v>
      </c>
      <c r="M87" s="1138">
        <v>0</v>
      </c>
      <c r="N87" s="1139">
        <f t="shared" si="35"/>
        <v>1.3930251267123581</v>
      </c>
      <c r="O87" s="256"/>
    </row>
    <row r="88" spans="1:15" ht="15" x14ac:dyDescent="0.25">
      <c r="A88" s="116"/>
      <c r="B88" s="775" t="str">
        <f>'SU A0800'!$B$3</f>
        <v>Suspension &amp; Shocks</v>
      </c>
      <c r="C88" s="771" t="str">
        <f>SU_12004</f>
        <v>SU 12004</v>
      </c>
      <c r="D88" s="255" t="s">
        <v>11</v>
      </c>
      <c r="E88" s="1135" t="str">
        <f>$F$84</f>
        <v>Front Pullrod</v>
      </c>
      <c r="F88" s="1032" t="str">
        <f>'SU 12004'!B5</f>
        <v>Spacer 2</v>
      </c>
      <c r="G88" s="117"/>
      <c r="H88" s="1136">
        <f t="shared" ref="H88" si="39">SUM(J88:M88)</f>
        <v>0.36380753801370747</v>
      </c>
      <c r="I88" s="1141">
        <f>SU_12004_q*SU_A1200_q</f>
        <v>4</v>
      </c>
      <c r="J88" s="1138">
        <f>SU_12004_M</f>
        <v>2.1307538013707415E-2</v>
      </c>
      <c r="K88" s="1138">
        <f>SU_12004_P</f>
        <v>0.34250000000000003</v>
      </c>
      <c r="L88" s="1138">
        <v>0</v>
      </c>
      <c r="M88" s="1138">
        <v>0</v>
      </c>
      <c r="N88" s="1139">
        <f t="shared" ref="N88:N91" si="40">H88*I88</f>
        <v>1.4552301520548299</v>
      </c>
      <c r="O88" s="122"/>
    </row>
    <row r="89" spans="1:15" ht="15" x14ac:dyDescent="0.25">
      <c r="A89" s="109"/>
      <c r="B89" s="110" t="str">
        <f>'SU A0800'!$B$3</f>
        <v>Suspension &amp; Shocks</v>
      </c>
      <c r="C89" s="111" t="str">
        <f>SU_A1300</f>
        <v>SU A1300</v>
      </c>
      <c r="D89" s="111" t="s">
        <v>11</v>
      </c>
      <c r="E89" s="111"/>
      <c r="F89" s="257" t="str">
        <f>'SU A1300'!B4</f>
        <v>Rear Pushrod</v>
      </c>
      <c r="G89" s="111"/>
      <c r="H89" s="112">
        <f t="shared" ref="H89:H91" si="41">SUM(J89:M89)</f>
        <v>9.455417981015044</v>
      </c>
      <c r="I89" s="668">
        <f>SU_A1300_q</f>
        <v>2</v>
      </c>
      <c r="J89" s="113">
        <f>SU_A1300_m</f>
        <v>5</v>
      </c>
      <c r="K89" s="113">
        <f>SU_A1300_p</f>
        <v>3.9700000000000006</v>
      </c>
      <c r="L89" s="113">
        <f>SU_A1300_f</f>
        <v>0.48541798101504374</v>
      </c>
      <c r="M89" s="113">
        <v>0</v>
      </c>
      <c r="N89" s="114">
        <f t="shared" si="40"/>
        <v>18.910835962030088</v>
      </c>
      <c r="O89" s="115"/>
    </row>
    <row r="90" spans="1:15" ht="15" x14ac:dyDescent="0.25">
      <c r="A90" s="116"/>
      <c r="B90" s="775" t="str">
        <f>'SU A0800'!$B$3</f>
        <v>Suspension &amp; Shocks</v>
      </c>
      <c r="C90" s="771" t="str">
        <f>SU_13001</f>
        <v>SU 13001</v>
      </c>
      <c r="D90" s="117" t="s">
        <v>11</v>
      </c>
      <c r="E90" s="117" t="s">
        <v>529</v>
      </c>
      <c r="F90" s="118" t="str">
        <f>'SU 13001'!B5</f>
        <v>Steel cylinder for pushrod</v>
      </c>
      <c r="G90" s="117"/>
      <c r="H90" s="119">
        <f t="shared" si="41"/>
        <v>1.4513899941560895</v>
      </c>
      <c r="I90" s="669">
        <f>SU_13001_q*SU_A1300_q</f>
        <v>2</v>
      </c>
      <c r="J90" s="120">
        <f>SU_13001_m</f>
        <v>0.10138999415608932</v>
      </c>
      <c r="K90" s="120">
        <f>SU_13001_p</f>
        <v>1.35</v>
      </c>
      <c r="L90" s="120">
        <v>0</v>
      </c>
      <c r="M90" s="120">
        <v>0</v>
      </c>
      <c r="N90" s="121">
        <f t="shared" si="40"/>
        <v>2.902779988312179</v>
      </c>
      <c r="O90" s="122"/>
    </row>
    <row r="91" spans="1:15" ht="15.75" thickBot="1" x14ac:dyDescent="0.3">
      <c r="A91" s="116"/>
      <c r="B91" s="775" t="str">
        <f>'[1]SU A1300'!$B$3</f>
        <v>Suspension &amp; Shocks</v>
      </c>
      <c r="C91" s="771" t="str">
        <f>SU_13002</f>
        <v>SU 13002</v>
      </c>
      <c r="D91" s="117" t="s">
        <v>11</v>
      </c>
      <c r="E91" s="117" t="s">
        <v>529</v>
      </c>
      <c r="F91" s="1162" t="str">
        <f>'SU 13002'!B5</f>
        <v>Spacer</v>
      </c>
      <c r="G91" s="117"/>
      <c r="H91" s="119">
        <f t="shared" si="41"/>
        <v>0.36380753801370747</v>
      </c>
      <c r="I91" s="123">
        <f>SU_13002_q*SU_A1300_q</f>
        <v>8</v>
      </c>
      <c r="J91" s="120">
        <f>SU_13002_m</f>
        <v>2.1307538013707415E-2</v>
      </c>
      <c r="K91" s="120">
        <f>SU_13002_p</f>
        <v>0.34250000000000003</v>
      </c>
      <c r="L91" s="120">
        <v>0</v>
      </c>
      <c r="M91" s="120">
        <v>0</v>
      </c>
      <c r="N91" s="121">
        <f t="shared" si="40"/>
        <v>2.9104603041096597</v>
      </c>
      <c r="O91" s="122"/>
    </row>
    <row r="92" spans="1:15" s="12" customFormat="1" ht="15.75" thickTop="1" thickBot="1" x14ac:dyDescent="0.25">
      <c r="A92" s="5"/>
      <c r="B92" s="41" t="str">
        <f>[2]SU_A0200!B3</f>
        <v>Suspension &amp; Shocks</v>
      </c>
      <c r="C92" s="1"/>
      <c r="D92" s="1"/>
      <c r="E92" s="1"/>
      <c r="F92" s="41" t="s">
        <v>59</v>
      </c>
      <c r="G92" s="1"/>
      <c r="H92" s="3"/>
      <c r="I92" s="4"/>
      <c r="J92" s="93">
        <f>SUMPRODUCT($I7:$I91,J7:J91)</f>
        <v>1865.7978751981448</v>
      </c>
      <c r="K92" s="93">
        <f>SUMPRODUCT($I7:$I91,K7:K91)</f>
        <v>924.02871530614379</v>
      </c>
      <c r="L92" s="93">
        <f>SUMPRODUCT($I7:$I91,L7:L91)</f>
        <v>12.840105661655308</v>
      </c>
      <c r="M92" s="93">
        <f>SUMPRODUCT($I7:$I91,M7:M91)</f>
        <v>14.666666666666664</v>
      </c>
      <c r="N92" s="93">
        <f>SUM(N7:N91)</f>
        <v>2817.3333628326109</v>
      </c>
      <c r="O92" s="2"/>
    </row>
    <row r="93" spans="1:15" ht="13.5" thickTop="1" x14ac:dyDescent="0.2">
      <c r="A93" s="11"/>
      <c r="B93" s="42"/>
      <c r="C93" s="13"/>
      <c r="D93" s="13"/>
      <c r="E93" s="13"/>
      <c r="F93" s="13"/>
      <c r="G93" s="13"/>
      <c r="H93" s="8"/>
      <c r="I93" s="13"/>
      <c r="J93" s="13"/>
      <c r="K93" s="13"/>
      <c r="L93" s="13"/>
      <c r="M93" s="13"/>
      <c r="N93" s="13"/>
    </row>
    <row r="94" spans="1:15" x14ac:dyDescent="0.2">
      <c r="A94" s="11"/>
      <c r="B94" s="42"/>
      <c r="C94" s="13"/>
      <c r="D94" s="13"/>
      <c r="E94" s="13"/>
      <c r="F94" s="13"/>
      <c r="G94" s="13"/>
      <c r="H94" s="8"/>
      <c r="I94" s="13"/>
      <c r="J94" s="13"/>
      <c r="K94" s="13"/>
      <c r="L94" s="13"/>
      <c r="M94" s="13"/>
      <c r="N94" s="13"/>
    </row>
    <row r="95" spans="1:15" x14ac:dyDescent="0.2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45"/>
    </row>
    <row r="97" spans="1:14" x14ac:dyDescent="0.2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45"/>
    </row>
    <row r="99" spans="1:14" x14ac:dyDescent="0.2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s="9" customFormat="1" x14ac:dyDescent="0.2">
      <c r="A123" s="7"/>
      <c r="B123" s="11"/>
      <c r="F123" s="42"/>
      <c r="I123" s="6"/>
      <c r="J123" s="6"/>
      <c r="K123" s="6"/>
      <c r="L123" s="6"/>
      <c r="M123" s="6"/>
    </row>
    <row r="124" spans="1:14" s="9" customFormat="1" x14ac:dyDescent="0.2">
      <c r="A124" s="7"/>
      <c r="B124" s="11"/>
      <c r="F124" s="42"/>
      <c r="I124" s="6"/>
      <c r="J124" s="6"/>
      <c r="K124" s="6"/>
      <c r="L124" s="6"/>
      <c r="M124" s="6"/>
    </row>
    <row r="125" spans="1:14" s="9" customFormat="1" x14ac:dyDescent="0.2">
      <c r="A125" s="7"/>
      <c r="B125" s="11"/>
      <c r="F125" s="42"/>
      <c r="I125" s="6"/>
      <c r="J125" s="6"/>
      <c r="K125" s="6"/>
      <c r="L125" s="6"/>
      <c r="M125" s="6"/>
    </row>
    <row r="126" spans="1:14" s="9" customFormat="1" x14ac:dyDescent="0.2">
      <c r="A126" s="7"/>
      <c r="B126" s="11"/>
      <c r="F126" s="42"/>
      <c r="I126" s="6"/>
      <c r="J126" s="6"/>
      <c r="K126" s="6"/>
      <c r="L126" s="6"/>
      <c r="M126" s="6"/>
    </row>
    <row r="127" spans="1:14" s="9" customFormat="1" x14ac:dyDescent="0.2">
      <c r="A127" s="7"/>
      <c r="B127" s="11"/>
      <c r="F127" s="42"/>
      <c r="I127" s="6"/>
      <c r="J127" s="6"/>
      <c r="K127" s="6"/>
      <c r="L127" s="6"/>
      <c r="M127" s="6"/>
    </row>
    <row r="128" spans="1:14" s="9" customFormat="1" x14ac:dyDescent="0.2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">
      <c r="A132" s="7"/>
      <c r="B132" s="11"/>
      <c r="F132" s="42"/>
      <c r="I132" s="6"/>
      <c r="J132" s="6"/>
      <c r="K132" s="6"/>
      <c r="L132" s="6"/>
      <c r="M132" s="6"/>
    </row>
    <row r="133" spans="1:14" s="10" customFormat="1" x14ac:dyDescent="0.2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</sheetData>
  <hyperlinks>
    <hyperlink ref="F7" location="'SU A0100'!A1" display="'SU A0100'!A1" xr:uid="{00000000-0004-0000-0000-000000000000}"/>
    <hyperlink ref="F8" location="SU_01001" display="SU_01001" xr:uid="{00000000-0004-0000-0000-000001000000}"/>
    <hyperlink ref="F9" location="SU_01002" display="SU_01002" xr:uid="{00000000-0004-0000-0000-000002000000}"/>
    <hyperlink ref="F10" location="SU_01003" display="SU_01003" xr:uid="{00000000-0004-0000-0000-000003000000}"/>
    <hyperlink ref="F11" location="SU_01004" display="SU_01004" xr:uid="{00000000-0004-0000-0000-000004000000}"/>
    <hyperlink ref="F12" location="SU_01005" display="SU_01005" xr:uid="{00000000-0004-0000-0000-000005000000}"/>
    <hyperlink ref="F14" location="SU_01007" display="SU_01007" xr:uid="{00000000-0004-0000-0000-000006000000}"/>
    <hyperlink ref="F19" location="SU_A0200" display="SU_A0200" xr:uid="{00000000-0004-0000-0000-000007000000}"/>
    <hyperlink ref="F20" location="SU_02001" display="SU_02001" xr:uid="{00000000-0004-0000-0000-000008000000}"/>
    <hyperlink ref="F21:F26" location="SU_01001" display="SU_01001" xr:uid="{00000000-0004-0000-0000-000009000000}"/>
    <hyperlink ref="F21" location="SU_02002" display="SU_02002" xr:uid="{00000000-0004-0000-0000-00000A000000}"/>
    <hyperlink ref="F22" location="SU_02003" display="SU_02003" xr:uid="{00000000-0004-0000-0000-00000B000000}"/>
    <hyperlink ref="F23" location="SU_02004" display="SU_02004" xr:uid="{00000000-0004-0000-0000-00000C000000}"/>
    <hyperlink ref="F24" location="SU_02005" display="SU_02005" xr:uid="{00000000-0004-0000-0000-00000D000000}"/>
    <hyperlink ref="F26" location="SU_02007" display="SU_02007" xr:uid="{00000000-0004-0000-0000-00000E000000}"/>
    <hyperlink ref="F13" location="SU_01006" display="SU_01006" xr:uid="{00000000-0004-0000-0000-00000F000000}"/>
    <hyperlink ref="F25" location="SU_02006" display="SU_02006" xr:uid="{00000000-0004-0000-0000-000010000000}"/>
    <hyperlink ref="F31" location="SU_A0300" display="SU_A0300" xr:uid="{00000000-0004-0000-0000-000011000000}"/>
    <hyperlink ref="F32" location="SU_03001" display="SU_03001" xr:uid="{00000000-0004-0000-0000-000012000000}"/>
    <hyperlink ref="F33:F38" location="SU_03001" display="SU_03001" xr:uid="{00000000-0004-0000-0000-000013000000}"/>
    <hyperlink ref="F33" location="SU_03002" display="SU_03002" xr:uid="{00000000-0004-0000-0000-000014000000}"/>
    <hyperlink ref="F34" location="SU_03003" display="SU_03003" xr:uid="{00000000-0004-0000-0000-000015000000}"/>
    <hyperlink ref="F35" location="SU_03004" display="SU_03004" xr:uid="{00000000-0004-0000-0000-000016000000}"/>
    <hyperlink ref="F36" location="SU_03005" display="SU_03005" xr:uid="{00000000-0004-0000-0000-000017000000}"/>
    <hyperlink ref="F37" location="SU_03006" display="SU_03006" xr:uid="{00000000-0004-0000-0000-000018000000}"/>
    <hyperlink ref="F38" location="SU_03007" display="SU_03007" xr:uid="{00000000-0004-0000-0000-000019000000}"/>
    <hyperlink ref="F15:F17" location="SU_01007" display="SU_01007" xr:uid="{00000000-0004-0000-0000-00001A000000}"/>
    <hyperlink ref="F18" location="SU_01011" display="SU_01011" xr:uid="{00000000-0004-0000-0000-00001B000000}"/>
    <hyperlink ref="F15" location="SU_01008" display="SU_01008" xr:uid="{00000000-0004-0000-0000-00001C000000}"/>
    <hyperlink ref="F16" location="SU_01009" display="SU_01009" xr:uid="{00000000-0004-0000-0000-00001D000000}"/>
    <hyperlink ref="F17" location="SU_01010" display="SU_01010" xr:uid="{00000000-0004-0000-0000-00001E000000}"/>
    <hyperlink ref="F27" location="SU_02008" display="SU_02008" xr:uid="{00000000-0004-0000-0000-00001F000000}"/>
    <hyperlink ref="F28" location="SU_02009" display="SU_02009" xr:uid="{00000000-0004-0000-0000-000020000000}"/>
    <hyperlink ref="F29" location="SU_02010" display="SU_02010" xr:uid="{00000000-0004-0000-0000-000021000000}"/>
    <hyperlink ref="F30" location="SU_02011" display="SU_02011" xr:uid="{00000000-0004-0000-0000-000022000000}"/>
    <hyperlink ref="F39" location="SU_03008" display="SU_03008" xr:uid="{00000000-0004-0000-0000-000023000000}"/>
    <hyperlink ref="F40" location="SU_03009" display="SU_03009" xr:uid="{00000000-0004-0000-0000-000024000000}"/>
    <hyperlink ref="F41" location="SU_03010" display="SU_03010" xr:uid="{00000000-0004-0000-0000-000025000000}"/>
    <hyperlink ref="F42" location="SU_03011" display="SU_03011" xr:uid="{00000000-0004-0000-0000-000026000000}"/>
    <hyperlink ref="F43" location="SU_A0400" display="SU_A0400" xr:uid="{00000000-0004-0000-0000-000027000000}"/>
    <hyperlink ref="F44" location="SU_04001" display="SU_04001" xr:uid="{00000000-0004-0000-0000-000028000000}"/>
    <hyperlink ref="F45:F50" location="SU_03001" display="SU_03001" xr:uid="{00000000-0004-0000-0000-000029000000}"/>
    <hyperlink ref="F45" location="SU_04002" display="SU_04002" xr:uid="{00000000-0004-0000-0000-00002A000000}"/>
    <hyperlink ref="F46" location="SU_04003" display="SU_04003" xr:uid="{00000000-0004-0000-0000-00002B000000}"/>
    <hyperlink ref="F47" location="SU_04004" display="SU_04004" xr:uid="{00000000-0004-0000-0000-00002C000000}"/>
    <hyperlink ref="F48" location="SU_04005" display="SU_04005" xr:uid="{00000000-0004-0000-0000-00002D000000}"/>
    <hyperlink ref="F49" location="SU_03006" display="SU_03006" xr:uid="{00000000-0004-0000-0000-00002E000000}"/>
    <hyperlink ref="F50" location="SU_04007" display="SU_04007" xr:uid="{00000000-0004-0000-0000-00002F000000}"/>
    <hyperlink ref="F52" location="SU_03009" display="SU_03009" xr:uid="{00000000-0004-0000-0000-000030000000}"/>
    <hyperlink ref="F53" location="SU_03010" display="SU_03010" xr:uid="{00000000-0004-0000-0000-000031000000}"/>
    <hyperlink ref="F54" location="SU_03011" display="SU_03011" xr:uid="{00000000-0004-0000-0000-000032000000}"/>
    <hyperlink ref="F51" location="SU_04008" display="SU_04008" xr:uid="{00000000-0004-0000-0000-000033000000}"/>
    <hyperlink ref="F55" location="'SU A0500'!A1" display="'SU A0500'!A1" xr:uid="{00000000-0004-0000-0000-000034000000}"/>
    <hyperlink ref="F56" location="SU_05001" display="SU_05001" xr:uid="{00000000-0004-0000-0000-000035000000}"/>
    <hyperlink ref="F58" location="SU_06001" display="Rocker bushing" xr:uid="{00000000-0004-0000-0000-000036000000}"/>
    <hyperlink ref="F59" location="SU_06002" display="Rocker spacer" xr:uid="{00000000-0004-0000-0000-000037000000}"/>
    <hyperlink ref="F60" location="SU_06003" display="Sheets of metal for rocker" xr:uid="{00000000-0004-0000-0000-000038000000}"/>
    <hyperlink ref="F61" location="SU_06004" display="Front rocker mount" xr:uid="{00000000-0004-0000-0000-000039000000}"/>
    <hyperlink ref="F63" location="SU_07001" display="SU_07001" xr:uid="{00000000-0004-0000-0000-00003A000000}"/>
    <hyperlink ref="F62" location="SU_A0700" display="SU_A0700" xr:uid="{00000000-0004-0000-0000-00003B000000}"/>
    <hyperlink ref="F65" location="SU_08001" display="Rocker bushing" xr:uid="{00000000-0004-0000-0000-00003C000000}"/>
    <hyperlink ref="F66" location="SU_08002" display="Sheets of metal for rocker" xr:uid="{00000000-0004-0000-0000-00003D000000}"/>
    <hyperlink ref="F67" location="SU_08003" display="Rear rocker mount" xr:uid="{00000000-0004-0000-0000-00003E000000}"/>
    <hyperlink ref="F64" location="SU_A0800" display="Rear Bell Cranck" xr:uid="{00000000-0004-0000-0000-00003F000000}"/>
    <hyperlink ref="F57" location="SU_A0600" display="SU_A0600" xr:uid="{00000000-0004-0000-0000-000040000000}"/>
    <hyperlink ref="F69" location="SU_09001" display="SU_09001" xr:uid="{00000000-0004-0000-0000-000041000000}"/>
    <hyperlink ref="F70" location="SU_09002" display="SU_09002" xr:uid="{00000000-0004-0000-0000-000042000000}"/>
    <hyperlink ref="F68" location="SU_A0900" display="SU_A0900" xr:uid="{00000000-0004-0000-0000-000043000000}"/>
    <hyperlink ref="F71" location="SU_09003" display="SU_09003" xr:uid="{00000000-0004-0000-0000-000044000000}"/>
    <hyperlink ref="F72" location="SU_09004" display="SU_09004" xr:uid="{00000000-0004-0000-0000-000045000000}"/>
    <hyperlink ref="F74" location="SU_10001" display="SU_10001" xr:uid="{00000000-0004-0000-0000-000046000000}"/>
    <hyperlink ref="F75" location="SU_10002" display="SU_10002" xr:uid="{00000000-0004-0000-0000-000047000000}"/>
    <hyperlink ref="F73" location="SU_A1000" display="SU_A1000" xr:uid="{00000000-0004-0000-0000-000048000000}"/>
    <hyperlink ref="F76" location="SU_10003" display="SU_10003" xr:uid="{00000000-0004-0000-0000-000049000000}"/>
    <hyperlink ref="F77" location="SU_10004" display="SU_10004" xr:uid="{00000000-0004-0000-0000-00004A000000}"/>
    <hyperlink ref="F78" location="SU_10005" display="SU_10005" xr:uid="{00000000-0004-0000-0000-00004B000000}"/>
    <hyperlink ref="F80" location="SU_11001" display="SU_11001" xr:uid="{00000000-0004-0000-0000-00004C000000}"/>
    <hyperlink ref="F81" location="SU_11002" display="SU_11002" xr:uid="{00000000-0004-0000-0000-00004D000000}"/>
    <hyperlink ref="F79" location="SU_A1100" display="SU_A1100" xr:uid="{00000000-0004-0000-0000-00004E000000}"/>
    <hyperlink ref="F82" location="SU_11003" display="SU_11003" xr:uid="{00000000-0004-0000-0000-00004F000000}"/>
    <hyperlink ref="F83" location="SU_11004" display="SU_11004" xr:uid="{00000000-0004-0000-0000-000050000000}"/>
    <hyperlink ref="F84" location="SU_A1200" display="SU_A1200" xr:uid="{00000000-0004-0000-0000-000051000000}"/>
    <hyperlink ref="F85" location="SU_12001" display="SU_12001" xr:uid="{00000000-0004-0000-0000-000052000000}"/>
    <hyperlink ref="F86" location="SU_12002" display="SU_12002" xr:uid="{00000000-0004-0000-0000-000053000000}"/>
    <hyperlink ref="F87" location="SU_12003" display="SU_12003" xr:uid="{00000000-0004-0000-0000-000054000000}"/>
    <hyperlink ref="F88" location="SU_12004" display="SU_12004" xr:uid="{00000000-0004-0000-0000-000055000000}"/>
    <hyperlink ref="F89" location="SU_A1300" display="SU_A1300" xr:uid="{00000000-0004-0000-0000-000056000000}"/>
    <hyperlink ref="F90" location="SU_13001" display="SU_13001" xr:uid="{00000000-0004-0000-0000-000057000000}"/>
    <hyperlink ref="F91" location="SU_13002" display="SU_13002" xr:uid="{00000000-0004-0000-0000-000058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rowBreaks count="1" manualBreakCount="1">
    <brk id="6" max="16383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22.5703125" customWidth="1"/>
  </cols>
  <sheetData>
    <row r="1" spans="1:2" x14ac:dyDescent="0.25">
      <c r="A1" t="s">
        <v>99</v>
      </c>
      <c r="B1" s="88" t="s">
        <v>101</v>
      </c>
    </row>
  </sheetData>
  <hyperlinks>
    <hyperlink ref="B1" location="SU_01005" display="SU_01005" xr:uid="{00000000-0004-0000-0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sheetPr>
    <tabColor rgb="FFFFFF66"/>
    <pageSetUpPr fitToPage="1"/>
  </sheetPr>
  <dimension ref="A1:P18"/>
  <sheetViews>
    <sheetView zoomScale="80" zoomScaleNormal="80" zoomScalePageLayoutView="70" workbookViewId="0">
      <selection activeCell="F6" sqref="F6"/>
    </sheetView>
  </sheetViews>
  <sheetFormatPr baseColWidth="10" defaultRowHeight="15" x14ac:dyDescent="0.25"/>
  <cols>
    <col min="1" max="1" width="11.5703125" customWidth="1"/>
    <col min="2" max="2" width="19.140625" customWidth="1"/>
    <col min="3" max="3" width="32" customWidth="1"/>
    <col min="5" max="5" width="9.28515625" customWidth="1"/>
    <col min="7" max="7" width="38.28515625" customWidth="1"/>
    <col min="8" max="8" width="9.5703125" customWidth="1"/>
    <col min="9" max="9" width="23.28515625" customWidth="1"/>
    <col min="11" max="11" width="7.7109375" customWidth="1"/>
    <col min="12" max="12" width="9.28515625" customWidth="1"/>
    <col min="15" max="15" width="6.710937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SU_08002_m+SU_08002_p</f>
        <v>2.0644187499999997</v>
      </c>
      <c r="O2" s="62"/>
    </row>
    <row r="3" spans="1:16" x14ac:dyDescent="0.25">
      <c r="A3" s="99" t="s">
        <v>3</v>
      </c>
      <c r="B3" s="16" t="str">
        <f>'SU A0800'!B3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A0800'!B4</f>
        <v>Rear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340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4.1288374999999995</v>
      </c>
      <c r="O5" s="62"/>
    </row>
    <row r="6" spans="1:16" x14ac:dyDescent="0.25">
      <c r="A6" s="99" t="s">
        <v>7</v>
      </c>
      <c r="B6" t="s">
        <v>374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s="25" customFormat="1" ht="30" x14ac:dyDescent="0.25">
      <c r="A11" s="1217">
        <v>10</v>
      </c>
      <c r="B11" s="962" t="s">
        <v>301</v>
      </c>
      <c r="C11" s="963" t="s">
        <v>342</v>
      </c>
      <c r="D11" s="32">
        <v>2.25</v>
      </c>
      <c r="E11" s="824">
        <f>L11*J11*K11</f>
        <v>0.15307499999999999</v>
      </c>
      <c r="F11" s="963" t="s">
        <v>141</v>
      </c>
      <c r="G11" s="963"/>
      <c r="H11" s="965"/>
      <c r="I11" s="824" t="s">
        <v>375</v>
      </c>
      <c r="J11" s="1218">
        <f>100*65*10^-6</f>
        <v>6.4999999999999997E-3</v>
      </c>
      <c r="K11" s="1018">
        <v>3.0000000000000001E-3</v>
      </c>
      <c r="L11" s="975">
        <v>7850</v>
      </c>
      <c r="M11" s="976">
        <v>1</v>
      </c>
      <c r="N11" s="32">
        <f>IF(J11="",D11*M11,D11*J11*K11*L11*M11)</f>
        <v>0.34441874999999994</v>
      </c>
      <c r="O11" s="68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0.34441874999999994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764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30" x14ac:dyDescent="0.25">
      <c r="A15" s="809">
        <v>10</v>
      </c>
      <c r="B15" s="825" t="s">
        <v>344</v>
      </c>
      <c r="C15" s="794" t="s">
        <v>345</v>
      </c>
      <c r="D15" s="792">
        <v>1.3</v>
      </c>
      <c r="E15" s="794" t="s">
        <v>35</v>
      </c>
      <c r="F15" s="794">
        <v>1</v>
      </c>
      <c r="G15" s="794" t="s">
        <v>346</v>
      </c>
      <c r="H15" s="794">
        <v>0.25</v>
      </c>
      <c r="I15" s="792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809">
        <v>20</v>
      </c>
      <c r="B16" s="794" t="s">
        <v>347</v>
      </c>
      <c r="C16" s="794" t="s">
        <v>348</v>
      </c>
      <c r="D16" s="792">
        <v>0.01</v>
      </c>
      <c r="E16" s="794" t="s">
        <v>40</v>
      </c>
      <c r="F16" s="794">
        <v>46.5</v>
      </c>
      <c r="G16" s="794" t="s">
        <v>339</v>
      </c>
      <c r="H16" s="794">
        <v>3</v>
      </c>
      <c r="I16" s="792">
        <f>D16*F16*H16</f>
        <v>1.395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1.72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 xr:uid="{00000000-0004-0000-6300-000000000000}"/>
    <hyperlink ref="G2" location="SU_A0800_BOM" display="Back to BOM" xr:uid="{00000000-0004-0000-6300-000001000000}"/>
    <hyperlink ref="B4" location="SU_A0800" display="SU_A0800" xr:uid="{00000000-0004-0000-6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0" t="s">
        <v>379</v>
      </c>
    </row>
  </sheetData>
  <hyperlinks>
    <hyperlink ref="B1" location="SU_08002" display="SU_08002" xr:uid="{00000000-0004-0000-6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sheetPr>
    <tabColor rgb="FFFFFF66"/>
    <pageSetUpPr fitToPage="1"/>
  </sheetPr>
  <dimension ref="A1:O20"/>
  <sheetViews>
    <sheetView zoomScale="70" zoomScaleNormal="70" zoomScalePageLayoutView="70" workbookViewId="0">
      <selection activeCell="G25" sqref="G25"/>
    </sheetView>
  </sheetViews>
  <sheetFormatPr baseColWidth="10" defaultRowHeight="15" x14ac:dyDescent="0.25"/>
  <cols>
    <col min="2" max="2" width="39.140625" customWidth="1"/>
    <col min="3" max="3" width="30.85546875" customWidth="1"/>
    <col min="7" max="7" width="36.7109375" customWidth="1"/>
    <col min="9" max="9" width="29.28515625" customWidth="1"/>
    <col min="13" max="13" width="12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810" t="s">
        <v>0</v>
      </c>
      <c r="B2" s="16" t="s">
        <v>37</v>
      </c>
      <c r="C2" s="780"/>
      <c r="D2" s="780"/>
      <c r="E2" s="780"/>
      <c r="F2" s="781" t="s">
        <v>62</v>
      </c>
      <c r="G2" s="780"/>
      <c r="H2" s="780"/>
      <c r="I2" s="780"/>
      <c r="J2" s="811" t="s">
        <v>1</v>
      </c>
      <c r="K2" s="783">
        <v>81</v>
      </c>
      <c r="L2" s="780"/>
      <c r="M2" s="812" t="s">
        <v>16</v>
      </c>
      <c r="N2" s="784">
        <f>SU_08003_m+SU_08003_p</f>
        <v>3.3779399999999997</v>
      </c>
      <c r="O2" s="259"/>
    </row>
    <row r="3" spans="1:15" x14ac:dyDescent="0.25">
      <c r="A3" s="813" t="s">
        <v>3</v>
      </c>
      <c r="B3" s="16" t="str">
        <f>'SU A0800'!B3</f>
        <v>Suspension &amp; Shocks</v>
      </c>
      <c r="C3" s="780"/>
      <c r="D3" s="812" t="s">
        <v>6</v>
      </c>
      <c r="E3" s="780"/>
      <c r="F3" s="780"/>
      <c r="G3" s="780"/>
      <c r="H3" s="780"/>
      <c r="I3" s="780"/>
      <c r="J3" s="780"/>
      <c r="K3" s="780"/>
      <c r="L3" s="780"/>
      <c r="M3" s="814" t="s">
        <v>4</v>
      </c>
      <c r="N3" s="785">
        <v>1</v>
      </c>
      <c r="O3" s="259"/>
    </row>
    <row r="4" spans="1:15" x14ac:dyDescent="0.25">
      <c r="A4" s="813" t="s">
        <v>5</v>
      </c>
      <c r="B4" s="87" t="str">
        <f>'SU A0800'!B4</f>
        <v>Rear Bell Crank</v>
      </c>
      <c r="C4" s="780"/>
      <c r="D4" s="814" t="s">
        <v>8</v>
      </c>
      <c r="E4" s="780"/>
      <c r="F4" s="780"/>
      <c r="G4" s="780"/>
      <c r="H4" s="780"/>
      <c r="I4" s="780"/>
      <c r="J4" s="812" t="s">
        <v>6</v>
      </c>
      <c r="K4" s="780"/>
      <c r="L4" s="780"/>
      <c r="M4" s="780"/>
      <c r="N4" s="780"/>
      <c r="O4" s="259"/>
    </row>
    <row r="5" spans="1:15" x14ac:dyDescent="0.25">
      <c r="A5" s="813" t="s">
        <v>15</v>
      </c>
      <c r="B5" s="730" t="s">
        <v>367</v>
      </c>
      <c r="C5" s="780"/>
      <c r="D5" s="814" t="s">
        <v>12</v>
      </c>
      <c r="E5" s="780"/>
      <c r="F5" s="780"/>
      <c r="G5" s="780"/>
      <c r="H5" s="780"/>
      <c r="I5" s="780"/>
      <c r="J5" s="814" t="s">
        <v>8</v>
      </c>
      <c r="K5" s="780"/>
      <c r="L5" s="780"/>
      <c r="M5" s="812" t="s">
        <v>9</v>
      </c>
      <c r="N5" s="784">
        <f>N2*N3</f>
        <v>3.3779399999999997</v>
      </c>
      <c r="O5" s="259"/>
    </row>
    <row r="6" spans="1:15" x14ac:dyDescent="0.25">
      <c r="A6" s="813" t="s">
        <v>7</v>
      </c>
      <c r="B6" t="s">
        <v>376</v>
      </c>
      <c r="C6" s="780"/>
      <c r="D6" s="780"/>
      <c r="E6" s="780"/>
      <c r="F6" s="780"/>
      <c r="G6" s="780"/>
      <c r="H6" s="780"/>
      <c r="I6" s="780"/>
      <c r="J6" s="814" t="s">
        <v>12</v>
      </c>
      <c r="K6" s="780"/>
      <c r="L6" s="780"/>
      <c r="M6" s="780"/>
      <c r="N6" s="780"/>
      <c r="O6" s="259"/>
    </row>
    <row r="7" spans="1:15" x14ac:dyDescent="0.25">
      <c r="A7" s="813" t="s">
        <v>10</v>
      </c>
      <c r="B7" s="16" t="s">
        <v>11</v>
      </c>
      <c r="C7" s="780"/>
      <c r="D7" s="780"/>
      <c r="E7" s="780"/>
      <c r="F7" s="780"/>
      <c r="G7" s="780"/>
      <c r="H7" s="780"/>
      <c r="I7" s="780"/>
      <c r="J7" s="780"/>
      <c r="K7" s="780"/>
      <c r="L7" s="780"/>
      <c r="M7" s="780"/>
      <c r="N7" s="780"/>
      <c r="O7" s="259"/>
    </row>
    <row r="8" spans="1:15" x14ac:dyDescent="0.25">
      <c r="A8" s="813" t="s">
        <v>13</v>
      </c>
      <c r="B8" s="16"/>
      <c r="C8" s="780"/>
      <c r="D8" s="780"/>
      <c r="E8" s="780"/>
      <c r="F8" s="780"/>
      <c r="G8" s="780"/>
      <c r="H8" s="780"/>
      <c r="I8" s="780"/>
      <c r="J8" s="780"/>
      <c r="K8" s="780"/>
      <c r="L8" s="780"/>
      <c r="M8" s="780"/>
      <c r="N8" s="780"/>
      <c r="O8" s="259"/>
    </row>
    <row r="9" spans="1:15" x14ac:dyDescent="0.25">
      <c r="A9" s="786"/>
      <c r="B9" s="780"/>
      <c r="C9" s="780"/>
      <c r="D9" s="780"/>
      <c r="E9" s="780"/>
      <c r="F9" s="780"/>
      <c r="G9" s="780"/>
      <c r="H9" s="780"/>
      <c r="I9" s="780"/>
      <c r="J9" s="780"/>
      <c r="K9" s="780"/>
      <c r="L9" s="780"/>
      <c r="M9" s="780"/>
      <c r="N9" s="780"/>
      <c r="O9" s="259"/>
    </row>
    <row r="10" spans="1:15" x14ac:dyDescent="0.25">
      <c r="A10" s="815" t="s">
        <v>14</v>
      </c>
      <c r="B10" s="816" t="s">
        <v>19</v>
      </c>
      <c r="C10" s="816" t="s">
        <v>20</v>
      </c>
      <c r="D10" s="817" t="s">
        <v>21</v>
      </c>
      <c r="E10" s="817" t="s">
        <v>22</v>
      </c>
      <c r="F10" s="817" t="s">
        <v>23</v>
      </c>
      <c r="G10" s="817" t="s">
        <v>24</v>
      </c>
      <c r="H10" s="817" t="s">
        <v>25</v>
      </c>
      <c r="I10" s="817" t="s">
        <v>26</v>
      </c>
      <c r="J10" s="817" t="s">
        <v>27</v>
      </c>
      <c r="K10" s="817" t="s">
        <v>28</v>
      </c>
      <c r="L10" s="817" t="s">
        <v>29</v>
      </c>
      <c r="M10" s="817" t="s">
        <v>17</v>
      </c>
      <c r="N10" s="817" t="s">
        <v>18</v>
      </c>
      <c r="O10" s="259"/>
    </row>
    <row r="11" spans="1:15" x14ac:dyDescent="0.25">
      <c r="A11" s="818">
        <v>10</v>
      </c>
      <c r="B11" s="760" t="s">
        <v>301</v>
      </c>
      <c r="C11" s="819" t="s">
        <v>302</v>
      </c>
      <c r="D11" s="792">
        <v>2.25</v>
      </c>
      <c r="E11" s="793">
        <f>J11*K11*L11</f>
        <v>0.36423999999999995</v>
      </c>
      <c r="F11" s="794" t="s">
        <v>141</v>
      </c>
      <c r="G11" s="794"/>
      <c r="H11" s="795"/>
      <c r="I11" s="796" t="s">
        <v>377</v>
      </c>
      <c r="J11" s="796">
        <f>50*58*10^-6</f>
        <v>2.8999999999999998E-3</v>
      </c>
      <c r="K11" s="797">
        <v>1.6E-2</v>
      </c>
      <c r="L11" s="798">
        <v>7850</v>
      </c>
      <c r="M11" s="798">
        <v>1</v>
      </c>
      <c r="N11" s="792">
        <f>D11*E11*M11</f>
        <v>0.81953999999999994</v>
      </c>
      <c r="O11" s="259"/>
    </row>
    <row r="12" spans="1:15" x14ac:dyDescent="0.25">
      <c r="A12" s="799"/>
      <c r="B12" s="800"/>
      <c r="C12" s="800"/>
      <c r="D12" s="800"/>
      <c r="E12" s="800"/>
      <c r="F12" s="800"/>
      <c r="G12" s="800"/>
      <c r="H12" s="800"/>
      <c r="I12" s="800"/>
      <c r="J12" s="800"/>
      <c r="K12" s="800"/>
      <c r="L12" s="800"/>
      <c r="M12" s="820" t="s">
        <v>18</v>
      </c>
      <c r="N12" s="821">
        <f>N11</f>
        <v>0.81953999999999994</v>
      </c>
      <c r="O12" s="259"/>
    </row>
    <row r="13" spans="1:15" x14ac:dyDescent="0.25">
      <c r="A13" s="786"/>
      <c r="B13" s="780"/>
      <c r="C13" s="780"/>
      <c r="D13" s="780"/>
      <c r="E13" s="780"/>
      <c r="F13" s="780"/>
      <c r="G13" s="780"/>
      <c r="H13" s="780"/>
      <c r="I13" s="780"/>
      <c r="J13" s="780"/>
      <c r="K13" s="780"/>
      <c r="L13" s="780"/>
      <c r="M13" s="780"/>
      <c r="N13" s="780"/>
      <c r="O13" s="259"/>
    </row>
    <row r="14" spans="1:15" x14ac:dyDescent="0.25">
      <c r="A14" s="822" t="s">
        <v>14</v>
      </c>
      <c r="B14" s="817" t="s">
        <v>31</v>
      </c>
      <c r="C14" s="817" t="s">
        <v>20</v>
      </c>
      <c r="D14" s="817" t="s">
        <v>21</v>
      </c>
      <c r="E14" s="817" t="s">
        <v>32</v>
      </c>
      <c r="F14" s="817" t="s">
        <v>17</v>
      </c>
      <c r="G14" s="817" t="s">
        <v>33</v>
      </c>
      <c r="H14" s="817" t="s">
        <v>34</v>
      </c>
      <c r="I14" s="817" t="s">
        <v>18</v>
      </c>
      <c r="J14" s="800"/>
      <c r="K14" s="800"/>
      <c r="L14" s="800"/>
      <c r="M14" s="800"/>
      <c r="N14" s="800"/>
      <c r="O14" s="259"/>
    </row>
    <row r="15" spans="1:15" x14ac:dyDescent="0.25">
      <c r="A15" s="803">
        <v>10</v>
      </c>
      <c r="B15" s="794" t="s">
        <v>344</v>
      </c>
      <c r="C15" s="794" t="s">
        <v>345</v>
      </c>
      <c r="D15" s="792">
        <v>1.3</v>
      </c>
      <c r="E15" s="794" t="s">
        <v>35</v>
      </c>
      <c r="F15" s="794">
        <v>1</v>
      </c>
      <c r="G15" s="794" t="s">
        <v>378</v>
      </c>
      <c r="H15" s="794">
        <v>0.5</v>
      </c>
      <c r="I15" s="792">
        <f>D15*F15*H15</f>
        <v>0.65</v>
      </c>
      <c r="J15" s="780"/>
      <c r="K15" s="780"/>
      <c r="L15" s="780"/>
      <c r="M15" s="780"/>
      <c r="N15" s="780"/>
      <c r="O15" s="259"/>
    </row>
    <row r="16" spans="1:15" x14ac:dyDescent="0.25">
      <c r="A16" s="803">
        <v>20</v>
      </c>
      <c r="B16" s="794" t="s">
        <v>347</v>
      </c>
      <c r="C16" s="794" t="s">
        <v>348</v>
      </c>
      <c r="D16" s="792">
        <v>0.01</v>
      </c>
      <c r="E16" s="794" t="s">
        <v>40</v>
      </c>
      <c r="F16" s="794">
        <v>20</v>
      </c>
      <c r="G16" s="794" t="s">
        <v>339</v>
      </c>
      <c r="H16" s="794">
        <v>3</v>
      </c>
      <c r="I16" s="792">
        <f>D16*F16*H16</f>
        <v>0.60000000000000009</v>
      </c>
      <c r="J16" s="780"/>
      <c r="K16" s="780"/>
      <c r="L16" s="780"/>
      <c r="M16" s="780"/>
      <c r="N16" s="780"/>
      <c r="O16" s="259"/>
    </row>
    <row r="17" spans="1:15" x14ac:dyDescent="0.25">
      <c r="A17" s="803">
        <v>30</v>
      </c>
      <c r="B17" s="794" t="s">
        <v>39</v>
      </c>
      <c r="C17" s="794"/>
      <c r="D17" s="792">
        <v>1.3</v>
      </c>
      <c r="E17" s="794" t="s">
        <v>35</v>
      </c>
      <c r="F17" s="794">
        <v>1</v>
      </c>
      <c r="G17" s="794"/>
      <c r="H17" s="794"/>
      <c r="I17" s="792">
        <v>1.3</v>
      </c>
      <c r="J17" s="800"/>
      <c r="K17" s="800"/>
      <c r="L17" s="800"/>
      <c r="M17" s="800"/>
      <c r="N17" s="800"/>
      <c r="O17" s="259"/>
    </row>
    <row r="18" spans="1:15" x14ac:dyDescent="0.25">
      <c r="A18" s="803">
        <v>40</v>
      </c>
      <c r="B18" s="794" t="s">
        <v>353</v>
      </c>
      <c r="C18" s="794" t="s">
        <v>335</v>
      </c>
      <c r="D18" s="792">
        <v>0.04</v>
      </c>
      <c r="E18" s="794" t="s">
        <v>93</v>
      </c>
      <c r="F18" s="794">
        <v>7.0000000000000007E-2</v>
      </c>
      <c r="G18" s="794" t="s">
        <v>339</v>
      </c>
      <c r="H18" s="794">
        <v>3</v>
      </c>
      <c r="I18" s="792">
        <f>D18*F18*H18</f>
        <v>8.4000000000000012E-3</v>
      </c>
      <c r="J18" s="780"/>
      <c r="K18" s="780"/>
      <c r="L18" s="780"/>
      <c r="M18" s="780"/>
      <c r="N18" s="780"/>
      <c r="O18" s="259"/>
    </row>
    <row r="19" spans="1:15" x14ac:dyDescent="0.25">
      <c r="A19" s="799"/>
      <c r="B19" s="800"/>
      <c r="C19" s="800"/>
      <c r="D19" s="800"/>
      <c r="E19" s="800"/>
      <c r="F19" s="800"/>
      <c r="G19" s="800"/>
      <c r="H19" s="820" t="s">
        <v>18</v>
      </c>
      <c r="I19" s="823">
        <f>SUM(I15:I18)</f>
        <v>2.5583999999999998</v>
      </c>
      <c r="J19" s="56"/>
      <c r="K19" s="56"/>
      <c r="L19" s="56"/>
      <c r="M19" s="56"/>
      <c r="N19" s="56"/>
      <c r="O19" s="259"/>
    </row>
    <row r="20" spans="1:15" ht="15.75" thickBot="1" x14ac:dyDescent="0.3">
      <c r="A20" s="279"/>
      <c r="B20" s="280"/>
      <c r="C20" s="280"/>
      <c r="D20" s="280"/>
      <c r="E20" s="280"/>
      <c r="F20" s="280"/>
      <c r="G20" s="280"/>
      <c r="H20" s="280"/>
      <c r="I20" s="280"/>
      <c r="J20" s="280"/>
      <c r="K20" s="280"/>
      <c r="L20" s="280"/>
      <c r="M20" s="280"/>
      <c r="N20" s="280"/>
      <c r="O20" s="281"/>
    </row>
  </sheetData>
  <hyperlinks>
    <hyperlink ref="F2" location="BOM!A1" display="Back to BOM" xr:uid="{00000000-0004-0000-6500-000000000000}"/>
    <hyperlink ref="B4" location="SU_A0800" display="SU_A0800" xr:uid="{00000000-0004-0000-6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sheetPr>
    <tabColor rgb="FFFFFF00"/>
    <pageSetUpPr fitToPage="1"/>
  </sheetPr>
  <dimension ref="A1:O49"/>
  <sheetViews>
    <sheetView topLeftCell="A12" zoomScale="115" zoomScaleNormal="11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 t="e">
        <f>SU_A1400_pa+SU_A1400_m+SU_A1400_p+SU_A1400_f</f>
        <v>#NAME?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547</v>
      </c>
      <c r="C4" s="698"/>
      <c r="D4" s="56"/>
      <c r="E4" s="56"/>
      <c r="F4" s="56"/>
      <c r="G4" s="56"/>
      <c r="H4" s="56"/>
      <c r="I4" s="56"/>
      <c r="J4" s="952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417</v>
      </c>
      <c r="C5" s="56"/>
      <c r="D5" s="56"/>
      <c r="E5" s="56"/>
      <c r="F5" s="56"/>
      <c r="G5" s="56"/>
      <c r="H5" s="56"/>
      <c r="I5" s="56"/>
      <c r="J5" s="952" t="s">
        <v>8</v>
      </c>
      <c r="K5" s="56"/>
      <c r="L5" s="56"/>
      <c r="M5" s="95" t="s">
        <v>9</v>
      </c>
      <c r="N5" s="80" t="e">
        <f>N2*SU_A1400_q</f>
        <v>#NAME?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52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421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27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65">
        <v>10</v>
      </c>
      <c r="B10" s="702" t="s">
        <v>402</v>
      </c>
      <c r="C10" s="272">
        <f>'SU 09001'!N2</f>
        <v>9.0687098494115101</v>
      </c>
      <c r="D10" s="826">
        <v>1</v>
      </c>
      <c r="E10" s="272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65">
        <v>20</v>
      </c>
      <c r="B11" s="702" t="s">
        <v>401</v>
      </c>
      <c r="C11" s="272">
        <f>'SU 09002'!N2</f>
        <v>1.5833945082514056</v>
      </c>
      <c r="D11" s="826">
        <v>2</v>
      </c>
      <c r="E11" s="272">
        <f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25">
      <c r="A12" s="665">
        <v>30</v>
      </c>
      <c r="B12" s="1031" t="str">
        <f>'SU 09003'!B5</f>
        <v>Spacer 1</v>
      </c>
      <c r="C12" s="272">
        <f>'SU 09004'!N2</f>
        <v>1.0636402027397729</v>
      </c>
      <c r="D12" s="827">
        <v>2</v>
      </c>
      <c r="E12" s="272">
        <f>C12*D12</f>
        <v>2.1272804054795458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25">
      <c r="A13" s="665">
        <v>40</v>
      </c>
      <c r="B13" s="1031" t="str">
        <f>'SU 09004'!B5</f>
        <v>Spacer 2</v>
      </c>
      <c r="C13" s="272">
        <f>'SU 09003'!N2</f>
        <v>0.23905539548753352</v>
      </c>
      <c r="D13" s="665">
        <v>2</v>
      </c>
      <c r="E13" s="272">
        <f>C13*D13</f>
        <v>0.47811079097506703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25">
      <c r="A14" s="63"/>
      <c r="B14" s="56"/>
      <c r="C14" s="56"/>
      <c r="D14" s="254" t="s">
        <v>18</v>
      </c>
      <c r="E14" s="234">
        <f>SUM(E10:E13)</f>
        <v>14.840890062368935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25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25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25">
      <c r="A17" s="72">
        <v>10</v>
      </c>
      <c r="B17" s="870" t="s">
        <v>399</v>
      </c>
      <c r="C17" s="870" t="s">
        <v>400</v>
      </c>
      <c r="D17" s="267">
        <f>0.02*E17^2+1.22</f>
        <v>2.5</v>
      </c>
      <c r="E17" s="870">
        <v>8</v>
      </c>
      <c r="F17" s="870" t="s">
        <v>30</v>
      </c>
      <c r="G17" s="870"/>
      <c r="H17" s="868"/>
      <c r="I17" s="871" t="s">
        <v>397</v>
      </c>
      <c r="J17" s="866"/>
      <c r="K17" s="868"/>
      <c r="L17" s="868"/>
      <c r="M17" s="866">
        <v>1</v>
      </c>
      <c r="N17" s="269">
        <f>D17*M17</f>
        <v>2.5</v>
      </c>
      <c r="O17" s="62"/>
    </row>
    <row r="18" spans="1:15" s="22" customFormat="1" x14ac:dyDescent="0.25">
      <c r="A18" s="72">
        <v>20</v>
      </c>
      <c r="B18" s="870" t="s">
        <v>399</v>
      </c>
      <c r="C18" s="870" t="s">
        <v>398</v>
      </c>
      <c r="D18" s="267">
        <f>0.02*E18^2+1.22</f>
        <v>2.5</v>
      </c>
      <c r="E18" s="870">
        <v>8</v>
      </c>
      <c r="F18" s="870" t="s">
        <v>30</v>
      </c>
      <c r="G18" s="870"/>
      <c r="H18" s="868"/>
      <c r="I18" s="869" t="s">
        <v>397</v>
      </c>
      <c r="J18" s="866"/>
      <c r="K18" s="868"/>
      <c r="L18" s="867"/>
      <c r="M18" s="866">
        <v>1</v>
      </c>
      <c r="N18" s="269">
        <f>D18*M18</f>
        <v>2.5</v>
      </c>
      <c r="O18" s="66"/>
    </row>
    <row r="19" spans="1:15" x14ac:dyDescent="0.25">
      <c r="A19" s="67"/>
      <c r="B19" s="865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25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25">
      <c r="A22" s="72">
        <v>10</v>
      </c>
      <c r="B22" s="271" t="s">
        <v>76</v>
      </c>
      <c r="C22" s="863" t="s">
        <v>155</v>
      </c>
      <c r="D22" s="268">
        <v>0.02</v>
      </c>
      <c r="E22" s="863" t="s">
        <v>74</v>
      </c>
      <c r="F22" s="861">
        <v>6.6</v>
      </c>
      <c r="G22" s="864"/>
      <c r="H22" s="861">
        <v>1</v>
      </c>
      <c r="I22" s="268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25">
      <c r="A23" s="72">
        <f t="shared" ref="A23:A37" si="1">A22+10</f>
        <v>20</v>
      </c>
      <c r="B23" s="271" t="s">
        <v>76</v>
      </c>
      <c r="C23" s="863" t="s">
        <v>396</v>
      </c>
      <c r="D23" s="268">
        <v>0.02</v>
      </c>
      <c r="E23" s="863" t="s">
        <v>74</v>
      </c>
      <c r="F23" s="861">
        <v>6.6</v>
      </c>
      <c r="G23" s="861"/>
      <c r="H23" s="861">
        <v>1</v>
      </c>
      <c r="I23" s="268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25">
      <c r="A24" s="72">
        <f t="shared" si="1"/>
        <v>30</v>
      </c>
      <c r="B24" s="862" t="s">
        <v>395</v>
      </c>
      <c r="C24" s="860" t="s">
        <v>394</v>
      </c>
      <c r="D24" s="74">
        <v>0.02</v>
      </c>
      <c r="E24" s="860" t="s">
        <v>393</v>
      </c>
      <c r="F24" s="861">
        <v>6.6</v>
      </c>
      <c r="G24" s="860"/>
      <c r="H24" s="860">
        <v>1</v>
      </c>
      <c r="I24" s="268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25">
      <c r="A25" s="72">
        <f t="shared" si="1"/>
        <v>40</v>
      </c>
      <c r="B25" s="244" t="s">
        <v>289</v>
      </c>
      <c r="C25" s="858" t="s">
        <v>392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68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25">
      <c r="A26" s="72">
        <f t="shared" si="1"/>
        <v>50</v>
      </c>
      <c r="B26" s="244" t="s">
        <v>391</v>
      </c>
      <c r="C26" s="858" t="s">
        <v>390</v>
      </c>
      <c r="D26" s="74">
        <v>0.5</v>
      </c>
      <c r="E26" s="859" t="s">
        <v>35</v>
      </c>
      <c r="F26" s="72">
        <v>2</v>
      </c>
      <c r="G26" s="72"/>
      <c r="H26" s="72">
        <v>1</v>
      </c>
      <c r="I26" s="268">
        <f t="shared" si="0"/>
        <v>1</v>
      </c>
      <c r="J26" s="56"/>
      <c r="K26" s="56"/>
      <c r="L26" s="56"/>
      <c r="M26" s="56"/>
      <c r="N26" s="56"/>
      <c r="O26" s="62"/>
    </row>
    <row r="27" spans="1:15" x14ac:dyDescent="0.25">
      <c r="A27" s="72">
        <f t="shared" si="1"/>
        <v>60</v>
      </c>
      <c r="B27" s="244" t="s">
        <v>389</v>
      </c>
      <c r="C27" s="858" t="s">
        <v>293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68">
        <f t="shared" si="0"/>
        <v>3</v>
      </c>
      <c r="J27" s="56"/>
      <c r="K27" s="56"/>
      <c r="L27" s="56"/>
      <c r="M27" s="56"/>
      <c r="N27" s="56"/>
      <c r="O27" s="62"/>
    </row>
    <row r="28" spans="1:15" x14ac:dyDescent="0.25">
      <c r="A28" s="72">
        <f t="shared" si="1"/>
        <v>70</v>
      </c>
      <c r="B28" s="244" t="s">
        <v>294</v>
      </c>
      <c r="C28" s="858" t="s">
        <v>293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68">
        <f t="shared" si="0"/>
        <v>0.5</v>
      </c>
      <c r="J28" s="56"/>
      <c r="K28" s="56"/>
      <c r="L28" s="56"/>
      <c r="M28" s="56"/>
      <c r="N28" s="56"/>
      <c r="O28" s="62"/>
    </row>
    <row r="29" spans="1:15" x14ac:dyDescent="0.25">
      <c r="A29" s="72">
        <f t="shared" si="1"/>
        <v>80</v>
      </c>
      <c r="B29" s="858" t="s">
        <v>286</v>
      </c>
      <c r="C29" s="858" t="s">
        <v>388</v>
      </c>
      <c r="D29" s="857">
        <v>0.06</v>
      </c>
      <c r="E29" s="856" t="s">
        <v>35</v>
      </c>
      <c r="F29" s="856">
        <v>2</v>
      </c>
      <c r="G29" s="856"/>
      <c r="H29" s="856">
        <v>1</v>
      </c>
      <c r="I29" s="268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25">
      <c r="A30" s="72">
        <f t="shared" si="1"/>
        <v>90</v>
      </c>
      <c r="B30" s="858" t="s">
        <v>286</v>
      </c>
      <c r="C30" s="858" t="s">
        <v>325</v>
      </c>
      <c r="D30" s="857">
        <v>0.06</v>
      </c>
      <c r="E30" s="856" t="s">
        <v>35</v>
      </c>
      <c r="F30" s="856">
        <v>2</v>
      </c>
      <c r="G30" s="856"/>
      <c r="H30" s="856">
        <v>1</v>
      </c>
      <c r="I30" s="268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25">
      <c r="A31" s="72">
        <f t="shared" si="1"/>
        <v>100</v>
      </c>
      <c r="B31" s="244" t="s">
        <v>289</v>
      </c>
      <c r="C31" s="858" t="s">
        <v>387</v>
      </c>
      <c r="D31" s="857">
        <v>0.12</v>
      </c>
      <c r="E31" s="856" t="s">
        <v>35</v>
      </c>
      <c r="F31" s="856">
        <v>1</v>
      </c>
      <c r="G31" s="856"/>
      <c r="H31" s="856">
        <v>1</v>
      </c>
      <c r="I31" s="268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25">
      <c r="A32" s="72">
        <f t="shared" si="1"/>
        <v>110</v>
      </c>
      <c r="B32" s="856" t="s">
        <v>286</v>
      </c>
      <c r="C32" s="858" t="s">
        <v>386</v>
      </c>
      <c r="D32" s="857">
        <v>0.06</v>
      </c>
      <c r="E32" s="856" t="s">
        <v>35</v>
      </c>
      <c r="F32" s="856">
        <v>2</v>
      </c>
      <c r="G32" s="856"/>
      <c r="H32" s="856">
        <v>1</v>
      </c>
      <c r="I32" s="268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25">
      <c r="A33" s="72">
        <f t="shared" si="1"/>
        <v>120</v>
      </c>
      <c r="B33" s="856" t="s">
        <v>286</v>
      </c>
      <c r="C33" s="858" t="s">
        <v>385</v>
      </c>
      <c r="D33" s="857">
        <v>0.06</v>
      </c>
      <c r="E33" s="856" t="s">
        <v>35</v>
      </c>
      <c r="F33" s="856">
        <v>2</v>
      </c>
      <c r="G33" s="856"/>
      <c r="H33" s="856">
        <v>1</v>
      </c>
      <c r="I33" s="268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25">
      <c r="A34" s="72">
        <f t="shared" si="1"/>
        <v>130</v>
      </c>
      <c r="B34" s="244" t="s">
        <v>289</v>
      </c>
      <c r="C34" s="858" t="s">
        <v>384</v>
      </c>
      <c r="D34" s="857">
        <v>0.12</v>
      </c>
      <c r="E34" s="856" t="s">
        <v>35</v>
      </c>
      <c r="F34" s="856">
        <v>1</v>
      </c>
      <c r="G34" s="856"/>
      <c r="H34" s="856">
        <v>1</v>
      </c>
      <c r="I34" s="268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25">
      <c r="A35" s="72">
        <f t="shared" si="1"/>
        <v>140</v>
      </c>
      <c r="B35" s="244" t="s">
        <v>289</v>
      </c>
      <c r="C35" s="858" t="s">
        <v>291</v>
      </c>
      <c r="D35" s="857">
        <v>0.12</v>
      </c>
      <c r="E35" s="856" t="s">
        <v>35</v>
      </c>
      <c r="F35" s="856">
        <v>2</v>
      </c>
      <c r="G35" s="856"/>
      <c r="H35" s="856">
        <v>1</v>
      </c>
      <c r="I35" s="268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5" customHeight="1" x14ac:dyDescent="0.25">
      <c r="A36" s="72">
        <f t="shared" si="1"/>
        <v>150</v>
      </c>
      <c r="B36" s="244" t="s">
        <v>292</v>
      </c>
      <c r="C36" s="858" t="s">
        <v>293</v>
      </c>
      <c r="D36" s="857">
        <v>0.75</v>
      </c>
      <c r="E36" s="856" t="s">
        <v>35</v>
      </c>
      <c r="F36" s="856">
        <v>2</v>
      </c>
      <c r="G36" s="856"/>
      <c r="H36" s="856">
        <v>1</v>
      </c>
      <c r="I36" s="268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5" customHeight="1" x14ac:dyDescent="0.25">
      <c r="A37" s="72">
        <f t="shared" si="1"/>
        <v>160</v>
      </c>
      <c r="B37" s="244" t="s">
        <v>294</v>
      </c>
      <c r="C37" s="858" t="s">
        <v>293</v>
      </c>
      <c r="D37" s="857">
        <v>0.25</v>
      </c>
      <c r="E37" s="856" t="s">
        <v>35</v>
      </c>
      <c r="F37" s="856">
        <v>2</v>
      </c>
      <c r="G37" s="856"/>
      <c r="H37" s="856">
        <v>1</v>
      </c>
      <c r="I37" s="268">
        <f t="shared" si="0"/>
        <v>0.5</v>
      </c>
      <c r="J37" s="57"/>
      <c r="K37" s="57"/>
      <c r="L37" s="57"/>
      <c r="M37" s="57"/>
      <c r="N37" s="57"/>
      <c r="O37" s="65"/>
    </row>
    <row r="38" spans="1:15" x14ac:dyDescent="0.25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25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25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25">
      <c r="A41" s="72">
        <v>10</v>
      </c>
      <c r="B41" s="72" t="s">
        <v>295</v>
      </c>
      <c r="C41" s="72" t="s">
        <v>383</v>
      </c>
      <c r="D41" s="653">
        <f>0.8/105154*E41^2*G41*SQRT(G41)+0.003*EXP(0.319*E41)</f>
        <v>0.18547981844542938</v>
      </c>
      <c r="E41" s="654">
        <v>8</v>
      </c>
      <c r="F41" s="654" t="s">
        <v>30</v>
      </c>
      <c r="G41" s="654">
        <v>45</v>
      </c>
      <c r="H41" s="654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25">
      <c r="A42" s="72">
        <f>A41+10</f>
        <v>20</v>
      </c>
      <c r="B42" s="72" t="s">
        <v>295</v>
      </c>
      <c r="C42" s="72" t="s">
        <v>382</v>
      </c>
      <c r="D42" s="653">
        <f>0.8/105154*E42^2*G42*SQRT(G42)+0.003*EXP(0.319*E42)</f>
        <v>0.18547981844542938</v>
      </c>
      <c r="E42" s="654">
        <v>8</v>
      </c>
      <c r="F42" s="654" t="s">
        <v>30</v>
      </c>
      <c r="G42" s="654">
        <v>45</v>
      </c>
      <c r="H42" s="654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25">
      <c r="A43" s="72">
        <f>A42+10</f>
        <v>30</v>
      </c>
      <c r="B43" s="72" t="s">
        <v>297</v>
      </c>
      <c r="C43" s="72"/>
      <c r="D43" s="653">
        <v>0.01</v>
      </c>
      <c r="E43" s="72">
        <v>8</v>
      </c>
      <c r="F43" s="655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25">
      <c r="A44" s="72">
        <f>A43+10</f>
        <v>40</v>
      </c>
      <c r="B44" s="72" t="s">
        <v>298</v>
      </c>
      <c r="C44" s="72" t="s">
        <v>381</v>
      </c>
      <c r="D44" s="653">
        <f>0.009*EXP(0.2*E44)</f>
        <v>2.9881052304628931E-2</v>
      </c>
      <c r="E44" s="72">
        <v>6</v>
      </c>
      <c r="F44" s="655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25">
      <c r="A45" s="72">
        <f>A44+10</f>
        <v>50</v>
      </c>
      <c r="B45" s="72" t="s">
        <v>298</v>
      </c>
      <c r="C45" s="72" t="s">
        <v>380</v>
      </c>
      <c r="D45" s="653">
        <f>0.009*EXP(0.2*E45)</f>
        <v>4.4577291819556032E-2</v>
      </c>
      <c r="E45" s="72">
        <v>8</v>
      </c>
      <c r="F45" s="655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25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0.55987632513922869</v>
      </c>
      <c r="K46" s="56"/>
      <c r="L46" s="56"/>
      <c r="M46" s="56"/>
      <c r="N46" s="56"/>
      <c r="O46" s="62"/>
    </row>
    <row r="47" spans="1:15" x14ac:dyDescent="0.25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.75" thickBot="1" x14ac:dyDescent="0.3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25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 xr:uid="{00000000-0004-0000-6600-000000000000}"/>
    <hyperlink ref="B10" location="SU_09001" display="Pullrod tube" xr:uid="{00000000-0004-0000-6600-000001000000}"/>
    <hyperlink ref="B11" location="SU_09002" display="Pullrod insert" xr:uid="{00000000-0004-0000-6600-000002000000}"/>
    <hyperlink ref="B12" location="SU_09003" display="Spacer" xr:uid="{00000000-0004-0000-6600-000003000000}"/>
    <hyperlink ref="E2" location="SU_A0900_BOM" display="Back to BOM" xr:uid="{00000000-0004-0000-66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sheetPr>
    <tabColor rgb="FFFFFF66"/>
    <pageSetUpPr fitToPage="1"/>
  </sheetPr>
  <dimension ref="A1:O279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31.85546875" customWidth="1"/>
    <col min="3" max="3" width="16.5703125" customWidth="1"/>
    <col min="7" max="7" width="10.28515625" customWidth="1"/>
    <col min="9" max="9" width="31.7109375" customWidth="1"/>
    <col min="10" max="10" width="13.5703125" customWidth="1"/>
    <col min="15" max="15" width="6.710937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917" t="s">
        <v>0</v>
      </c>
      <c r="B2" s="16" t="s">
        <v>37</v>
      </c>
      <c r="C2" s="911"/>
      <c r="D2" s="911"/>
      <c r="E2" s="911"/>
      <c r="F2" s="87" t="s">
        <v>62</v>
      </c>
      <c r="G2" s="911"/>
      <c r="H2" s="911"/>
      <c r="I2" s="911"/>
      <c r="J2" s="892" t="s">
        <v>1</v>
      </c>
      <c r="K2" s="916">
        <v>81</v>
      </c>
      <c r="L2" s="911"/>
      <c r="M2" s="891" t="s">
        <v>16</v>
      </c>
      <c r="N2" s="914">
        <f>N12+I16</f>
        <v>9.0687098494115101</v>
      </c>
      <c r="O2" s="259"/>
    </row>
    <row r="3" spans="1:15" x14ac:dyDescent="0.25">
      <c r="A3" s="913" t="s">
        <v>3</v>
      </c>
      <c r="B3" s="16" t="str">
        <f>'SU A0900'!B3</f>
        <v>Suspension &amp; Shocks</v>
      </c>
      <c r="C3" s="911"/>
      <c r="D3" s="891" t="s">
        <v>6</v>
      </c>
      <c r="E3" s="87"/>
      <c r="F3" s="911"/>
      <c r="G3" s="911"/>
      <c r="H3" s="911"/>
      <c r="I3" s="911"/>
      <c r="J3" s="911"/>
      <c r="K3" s="911"/>
      <c r="L3" s="911"/>
      <c r="M3" s="890" t="s">
        <v>4</v>
      </c>
      <c r="N3" s="915">
        <v>1</v>
      </c>
      <c r="O3" s="259"/>
    </row>
    <row r="4" spans="1:15" x14ac:dyDescent="0.25">
      <c r="A4" s="913" t="s">
        <v>5</v>
      </c>
      <c r="B4" s="87" t="str">
        <f>'SU A0900'!B4</f>
        <v xml:space="preserve">Rear Tie rod  </v>
      </c>
      <c r="C4" s="911"/>
      <c r="D4" s="890" t="s">
        <v>8</v>
      </c>
      <c r="E4" s="911"/>
      <c r="F4" s="911"/>
      <c r="G4" s="911"/>
      <c r="H4" s="911"/>
      <c r="I4" s="911"/>
      <c r="J4" s="891" t="s">
        <v>6</v>
      </c>
      <c r="K4" s="911"/>
      <c r="L4" s="911"/>
      <c r="M4" s="911"/>
      <c r="N4" s="911"/>
      <c r="O4" s="259"/>
    </row>
    <row r="5" spans="1:15" x14ac:dyDescent="0.25">
      <c r="A5" s="913" t="s">
        <v>15</v>
      </c>
      <c r="B5" s="730" t="s">
        <v>420</v>
      </c>
      <c r="C5" s="911"/>
      <c r="D5" s="890" t="s">
        <v>12</v>
      </c>
      <c r="E5" s="911"/>
      <c r="F5" s="911"/>
      <c r="G5" s="911"/>
      <c r="H5" s="911"/>
      <c r="I5" s="911"/>
      <c r="J5" s="890" t="s">
        <v>8</v>
      </c>
      <c r="K5" s="911"/>
      <c r="L5" s="911"/>
      <c r="M5" s="891" t="s">
        <v>9</v>
      </c>
      <c r="N5" s="914">
        <f>N2*N3</f>
        <v>9.0687098494115101</v>
      </c>
      <c r="O5" s="259"/>
    </row>
    <row r="6" spans="1:15" x14ac:dyDescent="0.25">
      <c r="A6" s="913" t="s">
        <v>7</v>
      </c>
      <c r="B6" t="s">
        <v>418</v>
      </c>
      <c r="C6" s="911"/>
      <c r="D6" s="911"/>
      <c r="E6" s="911"/>
      <c r="F6" s="911"/>
      <c r="G6" s="911"/>
      <c r="H6" s="911"/>
      <c r="I6" s="911"/>
      <c r="J6" s="890" t="s">
        <v>12</v>
      </c>
      <c r="K6" s="911"/>
      <c r="L6" s="911"/>
      <c r="M6" s="911"/>
      <c r="N6" s="911"/>
      <c r="O6" s="259"/>
    </row>
    <row r="7" spans="1:15" x14ac:dyDescent="0.25">
      <c r="A7" s="913" t="s">
        <v>10</v>
      </c>
      <c r="B7" s="16" t="s">
        <v>11</v>
      </c>
      <c r="C7" s="911"/>
      <c r="D7" s="911"/>
      <c r="E7" s="911"/>
      <c r="F7" s="911"/>
      <c r="G7" s="911"/>
      <c r="H7" s="911"/>
      <c r="I7" s="911"/>
      <c r="J7" s="911"/>
      <c r="K7" s="911"/>
      <c r="L7" s="911"/>
      <c r="M7" s="911"/>
      <c r="N7" s="911"/>
      <c r="O7" s="259"/>
    </row>
    <row r="8" spans="1:15" x14ac:dyDescent="0.25">
      <c r="A8" s="913" t="s">
        <v>13</v>
      </c>
      <c r="B8" s="16"/>
      <c r="C8" s="911"/>
      <c r="D8" s="911"/>
      <c r="E8" s="911"/>
      <c r="F8" s="911"/>
      <c r="G8" s="911"/>
      <c r="H8" s="911"/>
      <c r="I8" s="911"/>
      <c r="J8" s="911"/>
      <c r="K8" s="911"/>
      <c r="L8" s="911"/>
      <c r="M8" s="911"/>
      <c r="N8" s="911"/>
      <c r="O8" s="259"/>
    </row>
    <row r="9" spans="1:15" x14ac:dyDescent="0.25">
      <c r="A9" s="912"/>
      <c r="B9" s="911"/>
      <c r="C9" s="911"/>
      <c r="D9" s="911"/>
      <c r="E9" s="911"/>
      <c r="F9" s="911"/>
      <c r="G9" s="911"/>
      <c r="H9" s="911"/>
      <c r="I9" s="911"/>
      <c r="J9" s="911"/>
      <c r="K9" s="911"/>
      <c r="L9" s="911"/>
      <c r="M9" s="911"/>
      <c r="N9" s="911"/>
      <c r="O9" s="259"/>
    </row>
    <row r="10" spans="1:15" x14ac:dyDescent="0.25">
      <c r="A10" s="907" t="s">
        <v>14</v>
      </c>
      <c r="B10" s="880" t="s">
        <v>19</v>
      </c>
      <c r="C10" s="880" t="s">
        <v>20</v>
      </c>
      <c r="D10" s="880" t="s">
        <v>21</v>
      </c>
      <c r="E10" s="880" t="s">
        <v>22</v>
      </c>
      <c r="F10" s="880" t="s">
        <v>23</v>
      </c>
      <c r="G10" s="880" t="s">
        <v>24</v>
      </c>
      <c r="H10" s="880" t="s">
        <v>25</v>
      </c>
      <c r="I10" s="880" t="s">
        <v>26</v>
      </c>
      <c r="J10" s="880" t="s">
        <v>27</v>
      </c>
      <c r="K10" s="880" t="s">
        <v>28</v>
      </c>
      <c r="L10" s="880" t="s">
        <v>29</v>
      </c>
      <c r="M10" s="880" t="s">
        <v>17</v>
      </c>
      <c r="N10" s="880" t="s">
        <v>18</v>
      </c>
      <c r="O10" s="259"/>
    </row>
    <row r="11" spans="1:15" ht="15" customHeight="1" x14ac:dyDescent="0.25">
      <c r="A11" s="953">
        <v>10</v>
      </c>
      <c r="B11" s="790" t="s">
        <v>408</v>
      </c>
      <c r="C11" s="889" t="s">
        <v>407</v>
      </c>
      <c r="D11" s="882">
        <v>200</v>
      </c>
      <c r="E11" s="888">
        <f>J11*K11*L11</f>
        <v>4.0305377108495605E-2</v>
      </c>
      <c r="F11" s="887" t="s">
        <v>141</v>
      </c>
      <c r="G11" s="887"/>
      <c r="H11" s="886"/>
      <c r="I11" s="885" t="s">
        <v>406</v>
      </c>
      <c r="J11" s="885">
        <f>PI()*((8*10^-3)^2-(6*10^-3)^2)</f>
        <v>8.7964594300514196E-5</v>
      </c>
      <c r="K11" s="884">
        <v>0.28999999999999998</v>
      </c>
      <c r="L11" s="883">
        <v>1580</v>
      </c>
      <c r="M11" s="883">
        <v>1</v>
      </c>
      <c r="N11" s="882">
        <f>D11*E11</f>
        <v>8.0610754216991207</v>
      </c>
      <c r="O11" s="259"/>
    </row>
    <row r="12" spans="1:15" x14ac:dyDescent="0.25">
      <c r="A12" s="899"/>
      <c r="B12" s="898"/>
      <c r="C12" s="898"/>
      <c r="D12" s="898"/>
      <c r="E12" s="898"/>
      <c r="F12" s="898"/>
      <c r="G12" s="898"/>
      <c r="H12" s="898"/>
      <c r="I12" s="898"/>
      <c r="J12" s="898"/>
      <c r="K12" s="898"/>
      <c r="L12" s="898"/>
      <c r="M12" s="875" t="s">
        <v>18</v>
      </c>
      <c r="N12" s="881">
        <f>N11</f>
        <v>8.0610754216991207</v>
      </c>
      <c r="O12" s="259"/>
    </row>
    <row r="13" spans="1:15" x14ac:dyDescent="0.25">
      <c r="A13" s="912"/>
      <c r="B13" s="911"/>
      <c r="C13" s="911"/>
      <c r="D13" s="911"/>
      <c r="E13" s="911"/>
      <c r="F13" s="911"/>
      <c r="G13" s="911"/>
      <c r="H13" s="911"/>
      <c r="I13" s="911"/>
      <c r="J13" s="911"/>
      <c r="K13" s="911"/>
      <c r="L13" s="911"/>
      <c r="M13" s="911"/>
      <c r="N13" s="911"/>
      <c r="O13" s="259"/>
    </row>
    <row r="14" spans="1:15" x14ac:dyDescent="0.25">
      <c r="A14" s="907" t="s">
        <v>14</v>
      </c>
      <c r="B14" s="880" t="s">
        <v>31</v>
      </c>
      <c r="C14" s="880" t="s">
        <v>20</v>
      </c>
      <c r="D14" s="880" t="s">
        <v>21</v>
      </c>
      <c r="E14" s="880" t="s">
        <v>32</v>
      </c>
      <c r="F14" s="880" t="s">
        <v>17</v>
      </c>
      <c r="G14" s="880" t="s">
        <v>33</v>
      </c>
      <c r="H14" s="880" t="s">
        <v>34</v>
      </c>
      <c r="I14" s="880" t="s">
        <v>18</v>
      </c>
      <c r="J14" s="898"/>
      <c r="K14" s="898"/>
      <c r="L14" s="898"/>
      <c r="M14" s="898"/>
      <c r="N14" s="898"/>
      <c r="O14" s="259"/>
    </row>
    <row r="15" spans="1:15" x14ac:dyDescent="0.25">
      <c r="A15" s="954">
        <v>10</v>
      </c>
      <c r="B15" s="244" t="s">
        <v>405</v>
      </c>
      <c r="C15" s="878" t="s">
        <v>404</v>
      </c>
      <c r="D15" s="248">
        <v>25</v>
      </c>
      <c r="E15" s="244" t="s">
        <v>141</v>
      </c>
      <c r="F15" s="877">
        <f>E11</f>
        <v>4.0305377108495605E-2</v>
      </c>
      <c r="G15" s="876"/>
      <c r="H15" s="876"/>
      <c r="I15" s="32">
        <f>D15*F15</f>
        <v>1.0076344277123901</v>
      </c>
      <c r="J15" s="911"/>
      <c r="K15" s="911"/>
      <c r="L15" s="911"/>
      <c r="M15" s="911"/>
      <c r="N15" s="911"/>
      <c r="O15" s="259"/>
    </row>
    <row r="16" spans="1:15" x14ac:dyDescent="0.25">
      <c r="A16" s="899"/>
      <c r="B16" s="898"/>
      <c r="C16" s="898"/>
      <c r="D16" s="898"/>
      <c r="E16" s="898"/>
      <c r="F16" s="898"/>
      <c r="G16" s="898"/>
      <c r="H16" s="875" t="s">
        <v>18</v>
      </c>
      <c r="I16" s="874">
        <f>I15</f>
        <v>1.0076344277123901</v>
      </c>
      <c r="J16" s="898"/>
      <c r="K16" s="898"/>
      <c r="L16" s="898"/>
      <c r="M16" s="898"/>
      <c r="N16" s="898"/>
      <c r="O16" s="259"/>
    </row>
    <row r="17" spans="1:15" ht="15.75" thickBot="1" x14ac:dyDescent="0.3">
      <c r="A17" s="955"/>
      <c r="B17" s="956"/>
      <c r="C17" s="956"/>
      <c r="D17" s="956"/>
      <c r="E17" s="956"/>
      <c r="F17" s="956"/>
      <c r="G17" s="956"/>
      <c r="H17" s="957"/>
      <c r="I17" s="958"/>
      <c r="J17" s="956"/>
      <c r="K17" s="956"/>
      <c r="L17" s="956"/>
      <c r="M17" s="956"/>
      <c r="N17" s="956"/>
      <c r="O17" s="281"/>
    </row>
    <row r="18" spans="1:15" x14ac:dyDescent="0.25">
      <c r="A18" s="872"/>
      <c r="B18" s="872"/>
      <c r="C18" s="872"/>
      <c r="D18" s="872"/>
      <c r="E18" s="872"/>
      <c r="F18" s="872"/>
      <c r="G18" s="872"/>
      <c r="H18" s="872"/>
      <c r="I18" s="872"/>
      <c r="J18" s="872"/>
      <c r="K18" s="872"/>
      <c r="L18" s="872"/>
      <c r="M18" s="872"/>
      <c r="N18" s="872"/>
    </row>
    <row r="19" spans="1:15" x14ac:dyDescent="0.25">
      <c r="A19" s="872"/>
      <c r="B19" s="872"/>
      <c r="C19" s="872"/>
      <c r="D19" s="872"/>
      <c r="E19" s="872"/>
      <c r="F19" s="872"/>
      <c r="G19" s="872"/>
      <c r="H19" s="872"/>
      <c r="I19" s="872"/>
      <c r="J19" s="872"/>
      <c r="K19" s="872"/>
      <c r="L19" s="872"/>
      <c r="M19" s="872"/>
      <c r="N19" s="872"/>
    </row>
    <row r="20" spans="1:15" x14ac:dyDescent="0.25">
      <c r="A20" s="872"/>
      <c r="B20" s="872"/>
      <c r="C20" s="872"/>
      <c r="D20" s="872"/>
      <c r="E20" s="872"/>
      <c r="F20" s="872"/>
      <c r="G20" s="872"/>
      <c r="H20" s="872"/>
      <c r="I20" s="872"/>
      <c r="J20" s="872"/>
      <c r="K20" s="872"/>
      <c r="L20" s="872"/>
      <c r="M20" s="872"/>
      <c r="N20" s="872"/>
    </row>
    <row r="21" spans="1:15" x14ac:dyDescent="0.25">
      <c r="A21" s="872"/>
      <c r="B21" s="872"/>
      <c r="C21" s="872"/>
      <c r="D21" s="872"/>
      <c r="E21" s="872"/>
      <c r="F21" s="872"/>
      <c r="G21" s="872"/>
      <c r="H21" s="872"/>
      <c r="I21" s="872"/>
      <c r="J21" s="872"/>
      <c r="K21" s="872"/>
      <c r="L21" s="872"/>
      <c r="M21" s="872"/>
      <c r="N21" s="872"/>
    </row>
    <row r="22" spans="1:15" x14ac:dyDescent="0.25">
      <c r="A22" s="16"/>
      <c r="B22" s="872"/>
      <c r="C22" s="872"/>
      <c r="D22" s="872"/>
      <c r="E22" s="872"/>
      <c r="F22" s="872"/>
      <c r="G22" s="872"/>
      <c r="H22" s="872"/>
      <c r="I22" s="872"/>
      <c r="J22" s="872"/>
      <c r="K22" s="872"/>
      <c r="L22" s="872"/>
      <c r="M22" s="872"/>
      <c r="N22" s="872"/>
    </row>
    <row r="23" spans="1:15" x14ac:dyDescent="0.25">
      <c r="A23" s="16"/>
      <c r="B23" s="872"/>
      <c r="C23" s="872"/>
      <c r="D23" s="872"/>
      <c r="E23" s="872"/>
      <c r="F23" s="872"/>
      <c r="G23" s="872"/>
      <c r="H23" s="872"/>
      <c r="I23" s="872"/>
      <c r="J23" s="872"/>
      <c r="K23" s="872"/>
      <c r="L23" s="872"/>
      <c r="M23" s="872"/>
      <c r="N23" s="872"/>
    </row>
    <row r="24" spans="1:15" x14ac:dyDescent="0.25">
      <c r="A24" s="87"/>
      <c r="B24" s="872"/>
      <c r="C24" s="872"/>
      <c r="D24" s="872"/>
      <c r="E24" s="872"/>
      <c r="F24" s="872"/>
      <c r="G24" s="872"/>
      <c r="H24" s="872"/>
      <c r="I24" s="872"/>
      <c r="J24" s="872"/>
      <c r="K24" s="872"/>
      <c r="L24" s="872"/>
      <c r="M24" s="872"/>
      <c r="N24" s="872"/>
    </row>
    <row r="25" spans="1:15" x14ac:dyDescent="0.25">
      <c r="A25" s="18"/>
      <c r="B25" s="872"/>
      <c r="C25" s="872"/>
      <c r="D25" s="872"/>
      <c r="E25" s="872"/>
      <c r="F25" s="872"/>
      <c r="G25" s="872"/>
      <c r="H25" s="872"/>
      <c r="I25" s="872"/>
      <c r="J25" s="872"/>
      <c r="K25" s="872"/>
      <c r="L25" s="872"/>
      <c r="M25" s="872"/>
      <c r="N25" s="872"/>
    </row>
    <row r="26" spans="1:15" x14ac:dyDescent="0.25">
      <c r="A26" s="28"/>
      <c r="B26" s="872"/>
      <c r="C26" s="872"/>
      <c r="D26" s="872"/>
      <c r="E26" s="872"/>
      <c r="F26" s="872"/>
      <c r="G26" s="872"/>
      <c r="H26" s="872"/>
      <c r="I26" s="872"/>
      <c r="J26" s="872"/>
      <c r="K26" s="872"/>
      <c r="L26" s="872"/>
      <c r="M26" s="872"/>
      <c r="N26" s="872"/>
    </row>
    <row r="27" spans="1:15" x14ac:dyDescent="0.25">
      <c r="A27" s="16"/>
      <c r="B27" s="872"/>
      <c r="C27" s="872"/>
      <c r="D27" s="872"/>
      <c r="E27" s="872"/>
      <c r="F27" s="872"/>
      <c r="G27" s="872"/>
      <c r="H27" s="872"/>
      <c r="I27" s="872"/>
      <c r="J27" s="872"/>
      <c r="K27" s="872"/>
      <c r="L27" s="872"/>
      <c r="M27" s="872"/>
      <c r="N27" s="872"/>
    </row>
    <row r="28" spans="1:15" x14ac:dyDescent="0.25">
      <c r="A28" s="16"/>
      <c r="B28" s="872"/>
      <c r="C28" s="872"/>
      <c r="D28" s="872"/>
      <c r="E28" s="872"/>
      <c r="F28" s="872"/>
      <c r="G28" s="872"/>
      <c r="H28" s="872"/>
      <c r="I28" s="872"/>
      <c r="J28" s="872"/>
      <c r="K28" s="872"/>
      <c r="L28" s="872"/>
      <c r="M28" s="872"/>
      <c r="N28" s="872"/>
    </row>
    <row r="29" spans="1:15" x14ac:dyDescent="0.25">
      <c r="A29" s="872"/>
      <c r="B29" s="872"/>
      <c r="C29" s="872"/>
      <c r="D29" s="872"/>
      <c r="E29" s="872"/>
      <c r="F29" s="872"/>
      <c r="G29" s="872"/>
      <c r="H29" s="872"/>
      <c r="I29" s="872"/>
      <c r="J29" s="872"/>
      <c r="K29" s="872"/>
      <c r="L29" s="872"/>
      <c r="M29" s="872"/>
      <c r="N29" s="872"/>
    </row>
    <row r="30" spans="1:15" x14ac:dyDescent="0.25">
      <c r="A30" s="872"/>
      <c r="B30" s="872"/>
      <c r="C30" s="872"/>
      <c r="D30" s="872"/>
      <c r="E30" s="872"/>
      <c r="F30" s="872"/>
      <c r="G30" s="872"/>
      <c r="H30" s="872"/>
      <c r="I30" s="872"/>
      <c r="J30" s="872"/>
      <c r="K30" s="872"/>
      <c r="L30" s="872"/>
      <c r="M30" s="872"/>
      <c r="N30" s="872"/>
    </row>
    <row r="31" spans="1:15" x14ac:dyDescent="0.25">
      <c r="A31" s="872"/>
      <c r="B31" s="872"/>
      <c r="C31" s="872"/>
      <c r="D31" s="872"/>
      <c r="E31" s="872"/>
      <c r="F31" s="872"/>
      <c r="G31" s="872"/>
      <c r="H31" s="872"/>
      <c r="I31" s="872"/>
      <c r="J31" s="872"/>
      <c r="K31" s="872"/>
      <c r="L31" s="872"/>
      <c r="M31" s="872"/>
      <c r="N31" s="872"/>
    </row>
    <row r="32" spans="1:15" x14ac:dyDescent="0.25">
      <c r="A32" s="872"/>
      <c r="B32" s="872"/>
      <c r="C32" s="872"/>
      <c r="D32" s="872"/>
      <c r="E32" s="872"/>
      <c r="F32" s="872"/>
      <c r="G32" s="872"/>
      <c r="H32" s="872"/>
      <c r="I32" s="872"/>
      <c r="J32" s="872"/>
      <c r="K32" s="872"/>
      <c r="L32" s="872"/>
      <c r="M32" s="872"/>
      <c r="N32" s="872"/>
    </row>
    <row r="33" spans="1:14" x14ac:dyDescent="0.25">
      <c r="A33" s="872"/>
      <c r="B33" s="872"/>
      <c r="C33" s="872"/>
      <c r="D33" s="872"/>
      <c r="E33" s="872"/>
      <c r="F33" s="872"/>
      <c r="G33" s="872"/>
      <c r="H33" s="872"/>
      <c r="I33" s="872"/>
      <c r="J33" s="872"/>
      <c r="K33" s="872"/>
      <c r="L33" s="872"/>
      <c r="M33" s="872"/>
      <c r="N33" s="872"/>
    </row>
    <row r="34" spans="1:14" x14ac:dyDescent="0.25">
      <c r="A34" s="872"/>
      <c r="B34" s="872"/>
      <c r="C34" s="872"/>
      <c r="D34" s="872"/>
      <c r="E34" s="872"/>
      <c r="F34" s="872"/>
      <c r="G34" s="872"/>
      <c r="H34" s="872"/>
      <c r="I34" s="872"/>
      <c r="J34" s="872"/>
      <c r="K34" s="872"/>
      <c r="L34" s="872"/>
      <c r="M34" s="872"/>
      <c r="N34" s="872"/>
    </row>
    <row r="35" spans="1:14" x14ac:dyDescent="0.25">
      <c r="A35" s="872"/>
      <c r="B35" s="872"/>
      <c r="C35" s="872"/>
      <c r="D35" s="872"/>
      <c r="E35" s="872"/>
      <c r="F35" s="872"/>
      <c r="G35" s="872"/>
      <c r="H35" s="872"/>
      <c r="I35" s="872"/>
      <c r="J35" s="872"/>
      <c r="K35" s="872"/>
      <c r="L35" s="872"/>
      <c r="M35" s="872"/>
      <c r="N35" s="872"/>
    </row>
    <row r="36" spans="1:14" x14ac:dyDescent="0.25">
      <c r="A36" s="872"/>
      <c r="B36" s="872"/>
      <c r="C36" s="872"/>
      <c r="D36" s="872"/>
      <c r="E36" s="872"/>
      <c r="F36" s="872"/>
      <c r="G36" s="872"/>
      <c r="H36" s="872"/>
      <c r="I36" s="872"/>
      <c r="J36" s="872"/>
      <c r="K36" s="872"/>
      <c r="L36" s="872"/>
      <c r="M36" s="872"/>
      <c r="N36" s="872"/>
    </row>
    <row r="37" spans="1:14" x14ac:dyDescent="0.25">
      <c r="A37" s="872"/>
      <c r="B37" s="872"/>
      <c r="C37" s="872"/>
      <c r="D37" s="872"/>
      <c r="E37" s="872"/>
      <c r="F37" s="872"/>
      <c r="G37" s="872"/>
      <c r="H37" s="872"/>
      <c r="I37" s="872"/>
      <c r="J37" s="872"/>
      <c r="K37" s="872"/>
      <c r="L37" s="872"/>
      <c r="M37" s="872"/>
      <c r="N37" s="872"/>
    </row>
    <row r="38" spans="1:14" x14ac:dyDescent="0.25">
      <c r="A38" s="872"/>
      <c r="B38" s="872"/>
      <c r="C38" s="872"/>
      <c r="D38" s="872"/>
      <c r="E38" s="872"/>
      <c r="F38" s="872"/>
      <c r="G38" s="872"/>
      <c r="H38" s="872"/>
      <c r="I38" s="872"/>
      <c r="J38" s="872"/>
      <c r="K38" s="872"/>
      <c r="L38" s="872"/>
      <c r="M38" s="872"/>
      <c r="N38" s="872"/>
    </row>
    <row r="39" spans="1:14" x14ac:dyDescent="0.25">
      <c r="A39" s="872"/>
      <c r="B39" s="872"/>
      <c r="C39" s="872"/>
      <c r="D39" s="872"/>
      <c r="E39" s="872"/>
      <c r="F39" s="872"/>
      <c r="G39" s="872"/>
      <c r="H39" s="872"/>
      <c r="I39" s="872"/>
      <c r="J39" s="872"/>
      <c r="K39" s="872"/>
      <c r="L39" s="872"/>
      <c r="M39" s="872"/>
      <c r="N39" s="872"/>
    </row>
    <row r="40" spans="1:14" x14ac:dyDescent="0.25">
      <c r="A40" s="872"/>
      <c r="B40" s="872"/>
      <c r="C40" s="872"/>
      <c r="D40" s="872"/>
      <c r="E40" s="872"/>
      <c r="F40" s="872"/>
      <c r="G40" s="872"/>
      <c r="H40" s="872"/>
      <c r="I40" s="872"/>
      <c r="J40" s="872"/>
      <c r="K40" s="872"/>
      <c r="L40" s="872"/>
      <c r="M40" s="872"/>
      <c r="N40" s="872"/>
    </row>
    <row r="41" spans="1:14" x14ac:dyDescent="0.25">
      <c r="A41" s="872"/>
      <c r="B41" s="872"/>
      <c r="C41" s="872"/>
      <c r="D41" s="872"/>
      <c r="E41" s="872"/>
      <c r="F41" s="872"/>
      <c r="G41" s="872"/>
      <c r="H41" s="872"/>
      <c r="I41" s="872"/>
      <c r="J41" s="872"/>
      <c r="K41" s="872"/>
      <c r="L41" s="872"/>
      <c r="M41" s="872"/>
      <c r="N41" s="872"/>
    </row>
    <row r="42" spans="1:14" x14ac:dyDescent="0.25">
      <c r="A42" s="872"/>
      <c r="B42" s="872"/>
      <c r="C42" s="872"/>
      <c r="D42" s="872"/>
      <c r="E42" s="872"/>
      <c r="F42" s="872"/>
      <c r="G42" s="872"/>
      <c r="H42" s="872"/>
      <c r="I42" s="872"/>
      <c r="J42" s="872"/>
      <c r="K42" s="872"/>
      <c r="L42" s="872"/>
      <c r="M42" s="872"/>
      <c r="N42" s="872"/>
    </row>
    <row r="43" spans="1:14" x14ac:dyDescent="0.25">
      <c r="A43" s="872"/>
      <c r="B43" s="872"/>
      <c r="C43" s="872"/>
      <c r="D43" s="872"/>
      <c r="E43" s="872"/>
      <c r="F43" s="872"/>
      <c r="G43" s="872"/>
      <c r="H43" s="872"/>
      <c r="I43" s="872"/>
      <c r="J43" s="872"/>
      <c r="K43" s="872"/>
      <c r="L43" s="872"/>
      <c r="M43" s="872"/>
      <c r="N43" s="872"/>
    </row>
    <row r="44" spans="1:14" x14ac:dyDescent="0.25">
      <c r="A44" s="872"/>
      <c r="B44" s="872"/>
      <c r="C44" s="872"/>
      <c r="D44" s="872"/>
      <c r="E44" s="872"/>
      <c r="F44" s="872"/>
      <c r="G44" s="872"/>
      <c r="H44" s="872"/>
      <c r="I44" s="872"/>
      <c r="J44" s="872"/>
      <c r="K44" s="872"/>
      <c r="L44" s="872"/>
      <c r="M44" s="872"/>
      <c r="N44" s="872"/>
    </row>
    <row r="45" spans="1:14" x14ac:dyDescent="0.25">
      <c r="A45" s="872"/>
      <c r="B45" s="872"/>
      <c r="C45" s="872"/>
      <c r="D45" s="872"/>
      <c r="E45" s="872"/>
      <c r="F45" s="872"/>
      <c r="G45" s="872"/>
      <c r="H45" s="872"/>
      <c r="I45" s="872"/>
      <c r="J45" s="872"/>
      <c r="K45" s="872"/>
      <c r="L45" s="872"/>
      <c r="M45" s="872"/>
      <c r="N45" s="872"/>
    </row>
    <row r="46" spans="1:14" x14ac:dyDescent="0.25">
      <c r="A46" s="872"/>
      <c r="B46" s="872"/>
      <c r="C46" s="872"/>
      <c r="D46" s="872"/>
      <c r="E46" s="872"/>
      <c r="F46" s="872"/>
      <c r="G46" s="872"/>
      <c r="H46" s="872"/>
      <c r="I46" s="872"/>
      <c r="J46" s="872"/>
      <c r="K46" s="872"/>
      <c r="L46" s="872"/>
      <c r="M46" s="872"/>
      <c r="N46" s="872"/>
    </row>
    <row r="47" spans="1:14" x14ac:dyDescent="0.25">
      <c r="A47" s="872"/>
      <c r="B47" s="872"/>
      <c r="C47" s="872"/>
      <c r="D47" s="872"/>
      <c r="E47" s="872"/>
      <c r="F47" s="872"/>
      <c r="G47" s="872"/>
      <c r="H47" s="872"/>
      <c r="I47" s="872"/>
      <c r="J47" s="872"/>
      <c r="K47" s="872"/>
      <c r="L47" s="872"/>
      <c r="M47" s="872"/>
      <c r="N47" s="872"/>
    </row>
    <row r="48" spans="1:14" x14ac:dyDescent="0.25">
      <c r="A48" s="872"/>
      <c r="B48" s="872"/>
      <c r="C48" s="872"/>
      <c r="D48" s="872"/>
      <c r="E48" s="872"/>
      <c r="F48" s="872"/>
      <c r="G48" s="872"/>
      <c r="H48" s="872"/>
      <c r="I48" s="872"/>
      <c r="J48" s="872"/>
      <c r="K48" s="872"/>
      <c r="L48" s="872"/>
      <c r="M48" s="872"/>
      <c r="N48" s="872"/>
    </row>
    <row r="49" spans="1:14" x14ac:dyDescent="0.25">
      <c r="A49" s="872"/>
      <c r="B49" s="872"/>
      <c r="C49" s="872"/>
      <c r="D49" s="872"/>
      <c r="E49" s="872"/>
      <c r="F49" s="872"/>
      <c r="G49" s="872"/>
      <c r="H49" s="872"/>
      <c r="I49" s="872"/>
      <c r="J49" s="872"/>
      <c r="K49" s="872"/>
      <c r="L49" s="872"/>
      <c r="M49" s="872"/>
      <c r="N49" s="872"/>
    </row>
    <row r="50" spans="1:14" x14ac:dyDescent="0.25">
      <c r="A50" s="872"/>
      <c r="B50" s="872"/>
      <c r="C50" s="872"/>
      <c r="D50" s="872"/>
      <c r="E50" s="872"/>
      <c r="F50" s="872"/>
      <c r="G50" s="872"/>
      <c r="H50" s="872"/>
      <c r="I50" s="872"/>
      <c r="J50" s="872"/>
      <c r="K50" s="872"/>
      <c r="L50" s="872"/>
      <c r="M50" s="872"/>
      <c r="N50" s="872"/>
    </row>
    <row r="51" spans="1:14" x14ac:dyDescent="0.25">
      <c r="A51" s="872"/>
      <c r="B51" s="872"/>
      <c r="C51" s="872"/>
      <c r="D51" s="872"/>
      <c r="E51" s="872"/>
      <c r="F51" s="872"/>
      <c r="G51" s="872"/>
      <c r="H51" s="872"/>
      <c r="I51" s="872"/>
      <c r="J51" s="872"/>
      <c r="K51" s="872"/>
      <c r="L51" s="872"/>
      <c r="M51" s="872"/>
      <c r="N51" s="872"/>
    </row>
    <row r="52" spans="1:14" x14ac:dyDescent="0.25">
      <c r="A52" s="872"/>
      <c r="B52" s="872"/>
      <c r="C52" s="872"/>
      <c r="D52" s="872"/>
      <c r="E52" s="872"/>
      <c r="F52" s="872"/>
      <c r="G52" s="872"/>
      <c r="H52" s="872"/>
      <c r="I52" s="872"/>
      <c r="J52" s="872"/>
      <c r="K52" s="872"/>
      <c r="L52" s="872"/>
      <c r="M52" s="872"/>
      <c r="N52" s="872"/>
    </row>
    <row r="53" spans="1:14" x14ac:dyDescent="0.25">
      <c r="A53" s="872"/>
      <c r="B53" s="872"/>
      <c r="C53" s="872"/>
      <c r="D53" s="872"/>
      <c r="E53" s="872"/>
      <c r="F53" s="872"/>
      <c r="G53" s="872"/>
      <c r="H53" s="872"/>
      <c r="I53" s="872"/>
      <c r="J53" s="872"/>
      <c r="K53" s="872"/>
      <c r="L53" s="872"/>
      <c r="M53" s="872"/>
      <c r="N53" s="872"/>
    </row>
    <row r="54" spans="1:14" x14ac:dyDescent="0.25">
      <c r="A54" s="872"/>
      <c r="B54" s="872"/>
      <c r="C54" s="872"/>
      <c r="D54" s="872"/>
      <c r="E54" s="872"/>
      <c r="F54" s="872"/>
      <c r="G54" s="872"/>
      <c r="H54" s="872"/>
      <c r="I54" s="872"/>
      <c r="J54" s="872"/>
      <c r="K54" s="872"/>
      <c r="L54" s="872"/>
      <c r="M54" s="872"/>
      <c r="N54" s="872"/>
    </row>
    <row r="55" spans="1:14" x14ac:dyDescent="0.25">
      <c r="A55" s="872"/>
      <c r="B55" s="872"/>
      <c r="C55" s="872"/>
      <c r="D55" s="872"/>
      <c r="E55" s="872"/>
      <c r="F55" s="872"/>
      <c r="G55" s="872"/>
      <c r="H55" s="872"/>
      <c r="I55" s="872"/>
      <c r="J55" s="872"/>
      <c r="K55" s="872"/>
      <c r="L55" s="872"/>
      <c r="M55" s="872"/>
      <c r="N55" s="872"/>
    </row>
    <row r="56" spans="1:14" x14ac:dyDescent="0.25">
      <c r="A56" s="872"/>
      <c r="B56" s="872"/>
      <c r="C56" s="872"/>
      <c r="D56" s="872"/>
      <c r="E56" s="872"/>
      <c r="F56" s="872"/>
      <c r="G56" s="872"/>
      <c r="H56" s="872"/>
      <c r="I56" s="872"/>
      <c r="J56" s="872"/>
      <c r="K56" s="872"/>
      <c r="L56" s="872"/>
      <c r="M56" s="872"/>
      <c r="N56" s="872"/>
    </row>
    <row r="57" spans="1:14" x14ac:dyDescent="0.25">
      <c r="A57" s="872"/>
      <c r="B57" s="872"/>
      <c r="C57" s="872"/>
      <c r="D57" s="872"/>
      <c r="E57" s="872"/>
      <c r="F57" s="872"/>
      <c r="G57" s="872"/>
      <c r="H57" s="872"/>
      <c r="I57" s="872"/>
      <c r="J57" s="872"/>
      <c r="K57" s="872"/>
      <c r="L57" s="872"/>
      <c r="M57" s="872"/>
      <c r="N57" s="872"/>
    </row>
    <row r="58" spans="1:14" x14ac:dyDescent="0.25">
      <c r="A58" s="872"/>
      <c r="B58" s="872"/>
      <c r="C58" s="872"/>
      <c r="D58" s="872"/>
      <c r="E58" s="872"/>
      <c r="F58" s="872"/>
      <c r="G58" s="872"/>
      <c r="H58" s="872"/>
      <c r="I58" s="872"/>
      <c r="J58" s="872"/>
      <c r="K58" s="872"/>
      <c r="L58" s="872"/>
      <c r="M58" s="872"/>
      <c r="N58" s="872"/>
    </row>
    <row r="59" spans="1:14" x14ac:dyDescent="0.25">
      <c r="A59" s="872"/>
      <c r="B59" s="872"/>
      <c r="C59" s="872"/>
      <c r="D59" s="872"/>
      <c r="E59" s="872"/>
      <c r="F59" s="872"/>
      <c r="G59" s="872"/>
      <c r="H59" s="872"/>
      <c r="I59" s="872"/>
      <c r="J59" s="872"/>
      <c r="K59" s="872"/>
      <c r="L59" s="872"/>
      <c r="M59" s="872"/>
      <c r="N59" s="872"/>
    </row>
    <row r="60" spans="1:14" x14ac:dyDescent="0.25">
      <c r="A60" s="872"/>
      <c r="B60" s="872"/>
      <c r="C60" s="872"/>
      <c r="D60" s="872"/>
      <c r="E60" s="872"/>
      <c r="F60" s="872"/>
      <c r="G60" s="872"/>
      <c r="H60" s="872"/>
      <c r="I60" s="872"/>
      <c r="J60" s="872"/>
      <c r="K60" s="872"/>
      <c r="L60" s="872"/>
      <c r="M60" s="872"/>
      <c r="N60" s="872"/>
    </row>
    <row r="61" spans="1:14" x14ac:dyDescent="0.25">
      <c r="A61" s="872"/>
      <c r="B61" s="872"/>
      <c r="C61" s="872"/>
      <c r="D61" s="872"/>
      <c r="E61" s="872"/>
      <c r="F61" s="872"/>
      <c r="G61" s="872"/>
      <c r="H61" s="872"/>
      <c r="I61" s="872"/>
      <c r="J61" s="872"/>
      <c r="K61" s="872"/>
      <c r="L61" s="872"/>
      <c r="M61" s="872"/>
      <c r="N61" s="872"/>
    </row>
    <row r="62" spans="1:14" x14ac:dyDescent="0.25">
      <c r="A62" s="872"/>
      <c r="B62" s="872"/>
      <c r="C62" s="872"/>
      <c r="D62" s="872"/>
      <c r="E62" s="872"/>
      <c r="F62" s="872"/>
      <c r="G62" s="872"/>
      <c r="H62" s="872"/>
      <c r="I62" s="872"/>
      <c r="J62" s="872"/>
      <c r="K62" s="872"/>
      <c r="L62" s="872"/>
      <c r="M62" s="872"/>
      <c r="N62" s="872"/>
    </row>
    <row r="63" spans="1:14" x14ac:dyDescent="0.25">
      <c r="A63" s="872"/>
      <c r="B63" s="872"/>
      <c r="C63" s="872"/>
      <c r="D63" s="872"/>
      <c r="E63" s="872"/>
      <c r="F63" s="872"/>
      <c r="G63" s="872"/>
      <c r="H63" s="872"/>
      <c r="I63" s="872"/>
      <c r="J63" s="872"/>
      <c r="K63" s="872"/>
      <c r="L63" s="872"/>
      <c r="M63" s="872"/>
      <c r="N63" s="872"/>
    </row>
    <row r="64" spans="1:14" x14ac:dyDescent="0.25">
      <c r="A64" s="872"/>
      <c r="B64" s="872"/>
      <c r="C64" s="872"/>
      <c r="D64" s="872"/>
      <c r="E64" s="872"/>
      <c r="F64" s="872"/>
      <c r="G64" s="872"/>
      <c r="H64" s="872"/>
      <c r="I64" s="872"/>
      <c r="J64" s="872"/>
      <c r="K64" s="872"/>
      <c r="L64" s="872"/>
      <c r="M64" s="872"/>
      <c r="N64" s="872"/>
    </row>
    <row r="65" spans="1:14" x14ac:dyDescent="0.25">
      <c r="A65" s="872"/>
      <c r="B65" s="872"/>
      <c r="C65" s="872"/>
      <c r="D65" s="872"/>
      <c r="E65" s="872"/>
      <c r="F65" s="872"/>
      <c r="G65" s="872"/>
      <c r="H65" s="872"/>
      <c r="I65" s="872"/>
      <c r="J65" s="872"/>
      <c r="K65" s="872"/>
      <c r="L65" s="872"/>
      <c r="M65" s="872"/>
      <c r="N65" s="872"/>
    </row>
    <row r="66" spans="1:14" x14ac:dyDescent="0.25">
      <c r="A66" s="872"/>
      <c r="B66" s="872"/>
      <c r="C66" s="872"/>
      <c r="D66" s="872"/>
      <c r="E66" s="872"/>
      <c r="F66" s="872"/>
      <c r="G66" s="872"/>
      <c r="H66" s="872"/>
      <c r="I66" s="872"/>
      <c r="J66" s="872"/>
      <c r="K66" s="872"/>
      <c r="L66" s="872"/>
      <c r="M66" s="872"/>
      <c r="N66" s="872"/>
    </row>
    <row r="67" spans="1:14" x14ac:dyDescent="0.25">
      <c r="A67" s="872"/>
      <c r="B67" s="872"/>
      <c r="C67" s="872"/>
      <c r="D67" s="872"/>
      <c r="E67" s="872"/>
      <c r="F67" s="872"/>
      <c r="G67" s="872"/>
      <c r="H67" s="872"/>
      <c r="I67" s="872"/>
      <c r="J67" s="872"/>
      <c r="K67" s="872"/>
      <c r="L67" s="872"/>
      <c r="M67" s="872"/>
      <c r="N67" s="872"/>
    </row>
    <row r="68" spans="1:14" x14ac:dyDescent="0.25">
      <c r="A68" s="872"/>
      <c r="B68" s="872"/>
      <c r="C68" s="872"/>
      <c r="D68" s="872"/>
      <c r="E68" s="872"/>
      <c r="F68" s="872"/>
      <c r="G68" s="872"/>
      <c r="H68" s="872"/>
      <c r="I68" s="872"/>
      <c r="J68" s="872"/>
      <c r="K68" s="872"/>
      <c r="L68" s="872"/>
      <c r="M68" s="872"/>
      <c r="N68" s="872"/>
    </row>
    <row r="69" spans="1:14" x14ac:dyDescent="0.25">
      <c r="A69" s="872"/>
      <c r="B69" s="872"/>
      <c r="C69" s="872"/>
      <c r="D69" s="872"/>
      <c r="E69" s="872"/>
      <c r="F69" s="872"/>
      <c r="G69" s="872"/>
      <c r="H69" s="872"/>
      <c r="I69" s="872"/>
      <c r="J69" s="872"/>
      <c r="K69" s="872"/>
      <c r="L69" s="872"/>
      <c r="M69" s="872"/>
      <c r="N69" s="872"/>
    </row>
    <row r="70" spans="1:14" x14ac:dyDescent="0.25">
      <c r="A70" s="872"/>
      <c r="B70" s="872"/>
      <c r="C70" s="872"/>
      <c r="D70" s="872"/>
      <c r="E70" s="872"/>
      <c r="F70" s="872"/>
      <c r="G70" s="872"/>
      <c r="H70" s="872"/>
      <c r="I70" s="872"/>
      <c r="J70" s="872"/>
      <c r="K70" s="872"/>
      <c r="L70" s="872"/>
      <c r="M70" s="872"/>
      <c r="N70" s="872"/>
    </row>
    <row r="71" spans="1:14" x14ac:dyDescent="0.25">
      <c r="A71" s="872"/>
      <c r="B71" s="872"/>
      <c r="C71" s="872"/>
      <c r="D71" s="872"/>
      <c r="E71" s="872"/>
      <c r="F71" s="872"/>
      <c r="G71" s="872"/>
      <c r="H71" s="872"/>
      <c r="I71" s="872"/>
      <c r="J71" s="872"/>
      <c r="K71" s="872"/>
      <c r="L71" s="872"/>
      <c r="M71" s="872"/>
      <c r="N71" s="872"/>
    </row>
    <row r="72" spans="1:14" x14ac:dyDescent="0.25">
      <c r="A72" s="872"/>
      <c r="B72" s="872"/>
      <c r="C72" s="872"/>
      <c r="D72" s="872"/>
      <c r="E72" s="872"/>
      <c r="F72" s="872"/>
      <c r="G72" s="872"/>
      <c r="H72" s="872"/>
      <c r="I72" s="872"/>
      <c r="J72" s="872"/>
      <c r="K72" s="872"/>
      <c r="L72" s="872"/>
      <c r="M72" s="872"/>
      <c r="N72" s="872"/>
    </row>
    <row r="73" spans="1:14" x14ac:dyDescent="0.25">
      <c r="A73" s="872"/>
      <c r="B73" s="872"/>
      <c r="C73" s="872"/>
      <c r="D73" s="872"/>
      <c r="E73" s="872"/>
      <c r="F73" s="872"/>
      <c r="G73" s="872"/>
      <c r="H73" s="872"/>
      <c r="I73" s="872"/>
      <c r="J73" s="872"/>
      <c r="K73" s="872"/>
      <c r="L73" s="872"/>
      <c r="M73" s="872"/>
      <c r="N73" s="872"/>
    </row>
    <row r="74" spans="1:14" x14ac:dyDescent="0.25">
      <c r="A74" s="872"/>
      <c r="B74" s="872"/>
      <c r="C74" s="872"/>
      <c r="D74" s="872"/>
      <c r="E74" s="872"/>
      <c r="F74" s="872"/>
      <c r="G74" s="872"/>
      <c r="H74" s="872"/>
      <c r="I74" s="872"/>
      <c r="J74" s="872"/>
      <c r="K74" s="872"/>
      <c r="L74" s="872"/>
      <c r="M74" s="872"/>
      <c r="N74" s="872"/>
    </row>
    <row r="75" spans="1:14" x14ac:dyDescent="0.25">
      <c r="A75" s="872"/>
      <c r="B75" s="872"/>
      <c r="C75" s="872"/>
      <c r="D75" s="872"/>
      <c r="E75" s="872"/>
      <c r="F75" s="872"/>
      <c r="G75" s="872"/>
      <c r="H75" s="872"/>
      <c r="I75" s="872"/>
      <c r="J75" s="872"/>
      <c r="K75" s="872"/>
      <c r="L75" s="872"/>
      <c r="M75" s="872"/>
      <c r="N75" s="872"/>
    </row>
    <row r="76" spans="1:14" x14ac:dyDescent="0.25">
      <c r="A76" s="872"/>
      <c r="B76" s="872"/>
      <c r="C76" s="872"/>
      <c r="D76" s="872"/>
      <c r="E76" s="872"/>
      <c r="F76" s="872"/>
      <c r="G76" s="872"/>
      <c r="H76" s="872"/>
      <c r="I76" s="872"/>
      <c r="J76" s="872"/>
      <c r="K76" s="872"/>
      <c r="L76" s="872"/>
      <c r="M76" s="872"/>
      <c r="N76" s="872"/>
    </row>
    <row r="77" spans="1:14" x14ac:dyDescent="0.25">
      <c r="A77" s="872"/>
      <c r="B77" s="872"/>
      <c r="C77" s="872"/>
      <c r="D77" s="872"/>
      <c r="E77" s="872"/>
      <c r="F77" s="872"/>
      <c r="G77" s="872"/>
      <c r="H77" s="872"/>
      <c r="I77" s="872"/>
      <c r="J77" s="872"/>
      <c r="K77" s="872"/>
      <c r="L77" s="872"/>
      <c r="M77" s="872"/>
      <c r="N77" s="872"/>
    </row>
    <row r="78" spans="1:14" x14ac:dyDescent="0.25">
      <c r="A78" s="872"/>
      <c r="B78" s="872"/>
      <c r="C78" s="872"/>
      <c r="D78" s="872"/>
      <c r="E78" s="872"/>
      <c r="F78" s="872"/>
      <c r="G78" s="872"/>
      <c r="H78" s="872"/>
      <c r="I78" s="872"/>
      <c r="J78" s="872"/>
      <c r="K78" s="872"/>
      <c r="L78" s="872"/>
      <c r="M78" s="872"/>
      <c r="N78" s="872"/>
    </row>
    <row r="79" spans="1:14" x14ac:dyDescent="0.25">
      <c r="A79" s="872"/>
      <c r="B79" s="872"/>
      <c r="C79" s="872"/>
      <c r="D79" s="872"/>
      <c r="E79" s="872"/>
      <c r="F79" s="872"/>
      <c r="G79" s="872"/>
      <c r="H79" s="872"/>
      <c r="I79" s="872"/>
      <c r="J79" s="872"/>
      <c r="K79" s="872"/>
      <c r="L79" s="872"/>
      <c r="M79" s="872"/>
      <c r="N79" s="872"/>
    </row>
    <row r="80" spans="1:14" x14ac:dyDescent="0.25">
      <c r="A80" s="872"/>
      <c r="B80" s="872"/>
      <c r="C80" s="872"/>
      <c r="D80" s="872"/>
      <c r="E80" s="872"/>
      <c r="F80" s="872"/>
      <c r="G80" s="872"/>
      <c r="H80" s="872"/>
      <c r="I80" s="872"/>
      <c r="J80" s="872"/>
      <c r="K80" s="872"/>
      <c r="L80" s="872"/>
      <c r="M80" s="872"/>
      <c r="N80" s="872"/>
    </row>
    <row r="81" spans="1:14" x14ac:dyDescent="0.25">
      <c r="A81" s="872"/>
      <c r="B81" s="872"/>
      <c r="C81" s="872"/>
      <c r="D81" s="872"/>
      <c r="E81" s="872"/>
      <c r="F81" s="872"/>
      <c r="G81" s="872"/>
      <c r="H81" s="872"/>
      <c r="I81" s="872"/>
      <c r="J81" s="872"/>
      <c r="K81" s="872"/>
      <c r="L81" s="872"/>
      <c r="M81" s="872"/>
      <c r="N81" s="872"/>
    </row>
    <row r="82" spans="1:14" x14ac:dyDescent="0.25">
      <c r="A82" s="872"/>
      <c r="B82" s="872"/>
      <c r="C82" s="872"/>
      <c r="D82" s="872"/>
      <c r="E82" s="872"/>
      <c r="F82" s="872"/>
      <c r="G82" s="872"/>
      <c r="H82" s="872"/>
      <c r="I82" s="872"/>
      <c r="J82" s="872"/>
      <c r="K82" s="872"/>
      <c r="L82" s="872"/>
      <c r="M82" s="872"/>
      <c r="N82" s="872"/>
    </row>
    <row r="83" spans="1:14" x14ac:dyDescent="0.25">
      <c r="A83" s="872"/>
      <c r="B83" s="872"/>
      <c r="C83" s="872"/>
      <c r="D83" s="872"/>
      <c r="E83" s="872"/>
      <c r="F83" s="872"/>
      <c r="G83" s="872"/>
      <c r="H83" s="872"/>
      <c r="I83" s="872"/>
      <c r="J83" s="872"/>
      <c r="K83" s="872"/>
      <c r="L83" s="872"/>
      <c r="M83" s="872"/>
      <c r="N83" s="872"/>
    </row>
    <row r="84" spans="1:14" x14ac:dyDescent="0.25">
      <c r="A84" s="872"/>
      <c r="B84" s="872"/>
      <c r="C84" s="872"/>
      <c r="D84" s="872"/>
      <c r="E84" s="872"/>
      <c r="F84" s="872"/>
      <c r="G84" s="872"/>
      <c r="H84" s="872"/>
      <c r="I84" s="872"/>
      <c r="J84" s="872"/>
      <c r="K84" s="872"/>
      <c r="L84" s="872"/>
      <c r="M84" s="872"/>
      <c r="N84" s="872"/>
    </row>
    <row r="85" spans="1:14" x14ac:dyDescent="0.25">
      <c r="A85" s="872"/>
      <c r="B85" s="872"/>
      <c r="C85" s="872"/>
      <c r="D85" s="872"/>
      <c r="E85" s="872"/>
      <c r="F85" s="872"/>
      <c r="G85" s="872"/>
      <c r="H85" s="872"/>
      <c r="I85" s="872"/>
      <c r="J85" s="872"/>
      <c r="K85" s="872"/>
      <c r="L85" s="872"/>
      <c r="M85" s="872"/>
      <c r="N85" s="872"/>
    </row>
    <row r="86" spans="1:14" x14ac:dyDescent="0.25">
      <c r="A86" s="872"/>
      <c r="B86" s="872"/>
      <c r="C86" s="872"/>
      <c r="D86" s="872"/>
      <c r="E86" s="872"/>
      <c r="F86" s="872"/>
      <c r="G86" s="872"/>
      <c r="H86" s="872"/>
      <c r="I86" s="872"/>
      <c r="J86" s="872"/>
      <c r="K86" s="872"/>
      <c r="L86" s="872"/>
      <c r="M86" s="872"/>
      <c r="N86" s="872"/>
    </row>
    <row r="87" spans="1:14" x14ac:dyDescent="0.25">
      <c r="A87" s="872"/>
      <c r="B87" s="872"/>
      <c r="C87" s="872"/>
      <c r="D87" s="872"/>
      <c r="E87" s="872"/>
      <c r="F87" s="872"/>
      <c r="G87" s="872"/>
      <c r="H87" s="872"/>
      <c r="I87" s="872"/>
      <c r="J87" s="872"/>
      <c r="K87" s="872"/>
      <c r="L87" s="872"/>
      <c r="M87" s="872"/>
      <c r="N87" s="872"/>
    </row>
    <row r="88" spans="1:14" x14ac:dyDescent="0.25">
      <c r="A88" s="872"/>
      <c r="B88" s="872"/>
      <c r="C88" s="872"/>
      <c r="D88" s="872"/>
      <c r="E88" s="872"/>
      <c r="F88" s="872"/>
      <c r="G88" s="872"/>
      <c r="H88" s="872"/>
      <c r="I88" s="872"/>
      <c r="J88" s="872"/>
      <c r="K88" s="872"/>
      <c r="L88" s="872"/>
      <c r="M88" s="872"/>
      <c r="N88" s="872"/>
    </row>
    <row r="89" spans="1:14" x14ac:dyDescent="0.25">
      <c r="A89" s="872"/>
      <c r="B89" s="872"/>
      <c r="C89" s="872"/>
      <c r="D89" s="872"/>
      <c r="E89" s="872"/>
      <c r="F89" s="872"/>
      <c r="G89" s="872"/>
      <c r="H89" s="872"/>
      <c r="I89" s="872"/>
      <c r="J89" s="872"/>
      <c r="K89" s="872"/>
      <c r="L89" s="872"/>
      <c r="M89" s="872"/>
      <c r="N89" s="872"/>
    </row>
    <row r="90" spans="1:14" x14ac:dyDescent="0.25">
      <c r="A90" s="872"/>
      <c r="B90" s="872"/>
      <c r="C90" s="872"/>
      <c r="D90" s="872"/>
      <c r="E90" s="872"/>
      <c r="F90" s="872"/>
      <c r="G90" s="872"/>
      <c r="H90" s="872"/>
      <c r="I90" s="872"/>
      <c r="J90" s="872"/>
      <c r="K90" s="872"/>
      <c r="L90" s="872"/>
      <c r="M90" s="872"/>
      <c r="N90" s="872"/>
    </row>
    <row r="91" spans="1:14" x14ac:dyDescent="0.25">
      <c r="A91" s="872"/>
      <c r="B91" s="872"/>
      <c r="C91" s="872"/>
      <c r="D91" s="872"/>
      <c r="E91" s="872"/>
      <c r="F91" s="872"/>
      <c r="G91" s="872"/>
      <c r="H91" s="872"/>
      <c r="I91" s="872"/>
      <c r="J91" s="872"/>
      <c r="K91" s="872"/>
      <c r="L91" s="872"/>
      <c r="M91" s="872"/>
      <c r="N91" s="872"/>
    </row>
    <row r="92" spans="1:14" x14ac:dyDescent="0.25">
      <c r="A92" s="872"/>
      <c r="B92" s="872"/>
      <c r="C92" s="872"/>
      <c r="D92" s="872"/>
      <c r="E92" s="872"/>
      <c r="F92" s="872"/>
      <c r="G92" s="872"/>
      <c r="H92" s="872"/>
      <c r="I92" s="872"/>
      <c r="J92" s="872"/>
      <c r="K92" s="872"/>
      <c r="L92" s="872"/>
      <c r="M92" s="872"/>
      <c r="N92" s="872"/>
    </row>
    <row r="93" spans="1:14" x14ac:dyDescent="0.25">
      <c r="A93" s="872"/>
      <c r="B93" s="872"/>
      <c r="C93" s="872"/>
      <c r="D93" s="872"/>
      <c r="E93" s="872"/>
      <c r="F93" s="872"/>
      <c r="G93" s="872"/>
      <c r="H93" s="872"/>
      <c r="I93" s="872"/>
      <c r="J93" s="872"/>
      <c r="K93" s="872"/>
      <c r="L93" s="872"/>
      <c r="M93" s="872"/>
      <c r="N93" s="872"/>
    </row>
    <row r="94" spans="1:14" x14ac:dyDescent="0.25">
      <c r="A94" s="872"/>
      <c r="B94" s="872"/>
      <c r="C94" s="872"/>
      <c r="D94" s="872"/>
      <c r="E94" s="872"/>
      <c r="F94" s="872"/>
      <c r="G94" s="872"/>
      <c r="H94" s="872"/>
      <c r="I94" s="872"/>
      <c r="J94" s="872"/>
      <c r="K94" s="872"/>
      <c r="L94" s="872"/>
      <c r="M94" s="872"/>
      <c r="N94" s="872"/>
    </row>
    <row r="95" spans="1:14" x14ac:dyDescent="0.25">
      <c r="A95" s="872"/>
      <c r="B95" s="872"/>
      <c r="C95" s="872"/>
      <c r="D95" s="872"/>
      <c r="E95" s="872"/>
      <c r="F95" s="872"/>
      <c r="G95" s="872"/>
      <c r="H95" s="872"/>
      <c r="I95" s="872"/>
      <c r="J95" s="872"/>
      <c r="K95" s="872"/>
      <c r="L95" s="872"/>
      <c r="M95" s="872"/>
      <c r="N95" s="872"/>
    </row>
    <row r="96" spans="1:14" x14ac:dyDescent="0.25">
      <c r="A96" s="872"/>
      <c r="B96" s="872"/>
      <c r="C96" s="872"/>
      <c r="D96" s="872"/>
      <c r="E96" s="872"/>
      <c r="F96" s="872"/>
      <c r="G96" s="872"/>
      <c r="H96" s="872"/>
      <c r="I96" s="872"/>
      <c r="J96" s="872"/>
      <c r="K96" s="872"/>
      <c r="L96" s="872"/>
      <c r="M96" s="872"/>
      <c r="N96" s="872"/>
    </row>
    <row r="97" spans="1:14" x14ac:dyDescent="0.25">
      <c r="A97" s="872"/>
      <c r="B97" s="872"/>
      <c r="C97" s="872"/>
      <c r="D97" s="872"/>
      <c r="E97" s="872"/>
      <c r="F97" s="872"/>
      <c r="G97" s="872"/>
      <c r="H97" s="872"/>
      <c r="I97" s="872"/>
      <c r="J97" s="872"/>
      <c r="K97" s="872"/>
      <c r="L97" s="872"/>
      <c r="M97" s="872"/>
      <c r="N97" s="872"/>
    </row>
    <row r="98" spans="1:14" x14ac:dyDescent="0.25">
      <c r="A98" s="872"/>
      <c r="B98" s="872"/>
      <c r="C98" s="872"/>
      <c r="D98" s="872"/>
      <c r="E98" s="872"/>
      <c r="F98" s="872"/>
      <c r="G98" s="872"/>
      <c r="H98" s="872"/>
      <c r="I98" s="872"/>
      <c r="J98" s="872"/>
      <c r="K98" s="872"/>
      <c r="L98" s="872"/>
      <c r="M98" s="872"/>
      <c r="N98" s="872"/>
    </row>
    <row r="99" spans="1:14" x14ac:dyDescent="0.25">
      <c r="A99" s="872"/>
      <c r="B99" s="872"/>
      <c r="C99" s="872"/>
      <c r="D99" s="872"/>
      <c r="E99" s="872"/>
      <c r="F99" s="872"/>
      <c r="G99" s="872"/>
      <c r="H99" s="872"/>
      <c r="I99" s="872"/>
      <c r="J99" s="872"/>
      <c r="K99" s="872"/>
      <c r="L99" s="872"/>
      <c r="M99" s="872"/>
      <c r="N99" s="872"/>
    </row>
    <row r="100" spans="1:14" x14ac:dyDescent="0.25">
      <c r="A100" s="872"/>
      <c r="B100" s="872"/>
      <c r="C100" s="872"/>
      <c r="D100" s="872"/>
      <c r="E100" s="872"/>
      <c r="F100" s="872"/>
      <c r="G100" s="872"/>
      <c r="H100" s="872"/>
      <c r="I100" s="872"/>
      <c r="J100" s="872"/>
      <c r="K100" s="872"/>
      <c r="L100" s="872"/>
      <c r="M100" s="872"/>
      <c r="N100" s="872"/>
    </row>
    <row r="101" spans="1:14" x14ac:dyDescent="0.25">
      <c r="A101" s="872"/>
      <c r="B101" s="872"/>
      <c r="C101" s="872"/>
      <c r="D101" s="872"/>
      <c r="E101" s="872"/>
      <c r="F101" s="872"/>
      <c r="G101" s="872"/>
      <c r="H101" s="872"/>
      <c r="I101" s="872"/>
      <c r="J101" s="872"/>
      <c r="K101" s="872"/>
      <c r="L101" s="872"/>
      <c r="M101" s="872"/>
      <c r="N101" s="872"/>
    </row>
    <row r="102" spans="1:14" x14ac:dyDescent="0.25">
      <c r="A102" s="872"/>
      <c r="B102" s="872"/>
      <c r="C102" s="872"/>
      <c r="D102" s="872"/>
      <c r="E102" s="872"/>
      <c r="F102" s="872"/>
      <c r="G102" s="872"/>
      <c r="H102" s="872"/>
      <c r="I102" s="872"/>
      <c r="J102" s="872"/>
      <c r="K102" s="872"/>
      <c r="L102" s="872"/>
      <c r="M102" s="872"/>
      <c r="N102" s="872"/>
    </row>
    <row r="103" spans="1:14" x14ac:dyDescent="0.25">
      <c r="A103" s="872"/>
      <c r="B103" s="872"/>
      <c r="C103" s="872"/>
      <c r="D103" s="872"/>
      <c r="E103" s="872"/>
      <c r="F103" s="872"/>
      <c r="G103" s="872"/>
      <c r="H103" s="872"/>
      <c r="I103" s="872"/>
      <c r="J103" s="872"/>
      <c r="K103" s="872"/>
      <c r="L103" s="872"/>
      <c r="M103" s="872"/>
      <c r="N103" s="872"/>
    </row>
    <row r="104" spans="1:14" x14ac:dyDescent="0.25">
      <c r="A104" s="872"/>
      <c r="B104" s="872"/>
      <c r="C104" s="872"/>
      <c r="D104" s="872"/>
      <c r="E104" s="872"/>
      <c r="F104" s="872"/>
      <c r="G104" s="872"/>
      <c r="H104" s="872"/>
      <c r="I104" s="872"/>
      <c r="J104" s="872"/>
      <c r="K104" s="872"/>
      <c r="L104" s="872"/>
      <c r="M104" s="872"/>
      <c r="N104" s="872"/>
    </row>
    <row r="105" spans="1:14" x14ac:dyDescent="0.25">
      <c r="A105" s="872"/>
      <c r="B105" s="872"/>
      <c r="C105" s="872"/>
      <c r="D105" s="872"/>
      <c r="E105" s="872"/>
      <c r="F105" s="872"/>
      <c r="G105" s="872"/>
      <c r="H105" s="872"/>
      <c r="I105" s="872"/>
      <c r="J105" s="872"/>
      <c r="K105" s="872"/>
      <c r="L105" s="872"/>
      <c r="M105" s="872"/>
      <c r="N105" s="872"/>
    </row>
    <row r="106" spans="1:14" x14ac:dyDescent="0.25">
      <c r="A106" s="872"/>
      <c r="B106" s="872"/>
      <c r="C106" s="872"/>
      <c r="D106" s="872"/>
      <c r="E106" s="872"/>
      <c r="F106" s="872"/>
      <c r="G106" s="872"/>
      <c r="H106" s="872"/>
      <c r="I106" s="872"/>
      <c r="J106" s="872"/>
      <c r="K106" s="872"/>
      <c r="L106" s="872"/>
      <c r="M106" s="872"/>
      <c r="N106" s="872"/>
    </row>
    <row r="107" spans="1:14" x14ac:dyDescent="0.25">
      <c r="A107" s="872"/>
      <c r="B107" s="872"/>
      <c r="C107" s="872"/>
      <c r="D107" s="872"/>
      <c r="E107" s="872"/>
      <c r="F107" s="872"/>
      <c r="G107" s="872"/>
      <c r="H107" s="872"/>
      <c r="I107" s="872"/>
      <c r="J107" s="872"/>
      <c r="K107" s="872"/>
      <c r="L107" s="872"/>
      <c r="M107" s="872"/>
      <c r="N107" s="872"/>
    </row>
    <row r="108" spans="1:14" x14ac:dyDescent="0.25">
      <c r="A108" s="872"/>
      <c r="B108" s="872"/>
      <c r="C108" s="872"/>
      <c r="D108" s="872"/>
      <c r="E108" s="872"/>
      <c r="F108" s="872"/>
      <c r="G108" s="872"/>
      <c r="H108" s="872"/>
      <c r="I108" s="872"/>
      <c r="J108" s="872"/>
      <c r="K108" s="872"/>
      <c r="L108" s="872"/>
      <c r="M108" s="872"/>
      <c r="N108" s="872"/>
    </row>
    <row r="109" spans="1:14" x14ac:dyDescent="0.25">
      <c r="A109" s="872"/>
      <c r="B109" s="872"/>
      <c r="C109" s="872"/>
      <c r="D109" s="872"/>
      <c r="E109" s="872"/>
      <c r="F109" s="872"/>
      <c r="G109" s="872"/>
      <c r="H109" s="872"/>
      <c r="I109" s="872"/>
      <c r="J109" s="872"/>
      <c r="K109" s="872"/>
      <c r="L109" s="872"/>
      <c r="M109" s="872"/>
      <c r="N109" s="872"/>
    </row>
    <row r="110" spans="1:14" x14ac:dyDescent="0.25">
      <c r="A110" s="872"/>
      <c r="B110" s="872"/>
      <c r="C110" s="872"/>
      <c r="D110" s="872"/>
      <c r="E110" s="872"/>
      <c r="F110" s="872"/>
      <c r="G110" s="872"/>
      <c r="H110" s="872"/>
      <c r="I110" s="872"/>
      <c r="J110" s="872"/>
      <c r="K110" s="872"/>
      <c r="L110" s="872"/>
      <c r="M110" s="872"/>
      <c r="N110" s="872"/>
    </row>
    <row r="111" spans="1:14" x14ac:dyDescent="0.25">
      <c r="A111" s="872"/>
      <c r="B111" s="872"/>
      <c r="C111" s="872"/>
      <c r="D111" s="872"/>
      <c r="E111" s="872"/>
      <c r="F111" s="872"/>
      <c r="G111" s="872"/>
      <c r="H111" s="872"/>
      <c r="I111" s="872"/>
      <c r="J111" s="872"/>
      <c r="K111" s="872"/>
      <c r="L111" s="872"/>
      <c r="M111" s="872"/>
      <c r="N111" s="872"/>
    </row>
    <row r="112" spans="1:14" x14ac:dyDescent="0.25">
      <c r="A112" s="872"/>
      <c r="B112" s="872"/>
      <c r="C112" s="872"/>
      <c r="D112" s="872"/>
      <c r="E112" s="872"/>
      <c r="F112" s="872"/>
      <c r="G112" s="872"/>
      <c r="H112" s="872"/>
      <c r="I112" s="872"/>
      <c r="J112" s="872"/>
      <c r="K112" s="872"/>
      <c r="L112" s="872"/>
      <c r="M112" s="872"/>
      <c r="N112" s="872"/>
    </row>
    <row r="113" spans="1:14" x14ac:dyDescent="0.25">
      <c r="A113" s="872"/>
      <c r="B113" s="872"/>
      <c r="C113" s="872"/>
      <c r="D113" s="872"/>
      <c r="E113" s="872"/>
      <c r="F113" s="872"/>
      <c r="G113" s="872"/>
      <c r="H113" s="872"/>
      <c r="I113" s="872"/>
      <c r="J113" s="872"/>
      <c r="K113" s="872"/>
      <c r="L113" s="872"/>
      <c r="M113" s="872"/>
      <c r="N113" s="872"/>
    </row>
    <row r="114" spans="1:14" x14ac:dyDescent="0.25">
      <c r="A114" s="872"/>
      <c r="B114" s="872"/>
      <c r="C114" s="872"/>
      <c r="D114" s="872"/>
      <c r="E114" s="872"/>
      <c r="F114" s="872"/>
      <c r="G114" s="872"/>
      <c r="H114" s="872"/>
      <c r="I114" s="872"/>
      <c r="J114" s="872"/>
      <c r="K114" s="872"/>
      <c r="L114" s="872"/>
      <c r="M114" s="872"/>
      <c r="N114" s="872"/>
    </row>
    <row r="115" spans="1:14" x14ac:dyDescent="0.25">
      <c r="A115" s="872"/>
      <c r="B115" s="872"/>
      <c r="C115" s="872"/>
      <c r="D115" s="872"/>
      <c r="E115" s="872"/>
      <c r="F115" s="872"/>
      <c r="G115" s="872"/>
      <c r="H115" s="872"/>
      <c r="I115" s="872"/>
      <c r="J115" s="872"/>
      <c r="K115" s="872"/>
      <c r="L115" s="872"/>
      <c r="M115" s="872"/>
      <c r="N115" s="872"/>
    </row>
    <row r="116" spans="1:14" x14ac:dyDescent="0.25">
      <c r="A116" s="872"/>
      <c r="B116" s="872"/>
      <c r="C116" s="872"/>
      <c r="D116" s="872"/>
      <c r="E116" s="872"/>
      <c r="F116" s="872"/>
      <c r="G116" s="872"/>
      <c r="H116" s="872"/>
      <c r="I116" s="872"/>
      <c r="J116" s="872"/>
      <c r="K116" s="872"/>
      <c r="L116" s="872"/>
      <c r="M116" s="872"/>
      <c r="N116" s="872"/>
    </row>
    <row r="117" spans="1:14" x14ac:dyDescent="0.25">
      <c r="A117" s="872"/>
      <c r="B117" s="872"/>
      <c r="C117" s="872"/>
      <c r="D117" s="872"/>
      <c r="E117" s="872"/>
      <c r="F117" s="872"/>
      <c r="G117" s="872"/>
      <c r="H117" s="872"/>
      <c r="I117" s="872"/>
      <c r="J117" s="872"/>
      <c r="K117" s="872"/>
      <c r="L117" s="872"/>
      <c r="M117" s="872"/>
      <c r="N117" s="872"/>
    </row>
    <row r="118" spans="1:14" x14ac:dyDescent="0.25">
      <c r="A118" s="872"/>
      <c r="B118" s="872"/>
      <c r="C118" s="872"/>
      <c r="D118" s="872"/>
      <c r="E118" s="872"/>
      <c r="F118" s="872"/>
      <c r="G118" s="872"/>
      <c r="H118" s="872"/>
      <c r="I118" s="872"/>
      <c r="J118" s="872"/>
      <c r="K118" s="872"/>
      <c r="L118" s="872"/>
      <c r="M118" s="872"/>
      <c r="N118" s="872"/>
    </row>
    <row r="119" spans="1:14" x14ac:dyDescent="0.25">
      <c r="A119" s="872"/>
      <c r="B119" s="872"/>
      <c r="C119" s="872"/>
      <c r="D119" s="872"/>
      <c r="E119" s="872"/>
      <c r="F119" s="872"/>
      <c r="G119" s="872"/>
      <c r="H119" s="872"/>
      <c r="I119" s="872"/>
      <c r="J119" s="872"/>
      <c r="K119" s="872"/>
      <c r="L119" s="872"/>
      <c r="M119" s="872"/>
      <c r="N119" s="872"/>
    </row>
    <row r="120" spans="1:14" x14ac:dyDescent="0.25">
      <c r="A120" s="872"/>
      <c r="B120" s="872"/>
      <c r="C120" s="872"/>
      <c r="D120" s="872"/>
      <c r="E120" s="872"/>
      <c r="F120" s="872"/>
      <c r="G120" s="872"/>
      <c r="H120" s="872"/>
      <c r="I120" s="872"/>
      <c r="J120" s="872"/>
      <c r="K120" s="872"/>
      <c r="L120" s="872"/>
      <c r="M120" s="872"/>
      <c r="N120" s="872"/>
    </row>
    <row r="121" spans="1:14" x14ac:dyDescent="0.25">
      <c r="A121" s="872"/>
      <c r="B121" s="872"/>
      <c r="C121" s="872"/>
      <c r="D121" s="872"/>
      <c r="E121" s="872"/>
      <c r="F121" s="872"/>
      <c r="G121" s="872"/>
      <c r="H121" s="872"/>
      <c r="I121" s="872"/>
      <c r="J121" s="872"/>
      <c r="K121" s="872"/>
      <c r="L121" s="872"/>
      <c r="M121" s="872"/>
      <c r="N121" s="872"/>
    </row>
    <row r="122" spans="1:14" x14ac:dyDescent="0.25">
      <c r="A122" s="872"/>
      <c r="B122" s="872"/>
      <c r="C122" s="872"/>
      <c r="D122" s="872"/>
      <c r="E122" s="872"/>
      <c r="F122" s="872"/>
      <c r="G122" s="872"/>
      <c r="H122" s="872"/>
      <c r="I122" s="872"/>
      <c r="J122" s="872"/>
      <c r="K122" s="872"/>
      <c r="L122" s="872"/>
      <c r="M122" s="872"/>
      <c r="N122" s="872"/>
    </row>
    <row r="123" spans="1:14" x14ac:dyDescent="0.25">
      <c r="A123" s="872"/>
      <c r="B123" s="872"/>
      <c r="C123" s="872"/>
      <c r="D123" s="872"/>
      <c r="E123" s="872"/>
      <c r="F123" s="872"/>
      <c r="G123" s="872"/>
      <c r="H123" s="872"/>
      <c r="I123" s="872"/>
      <c r="J123" s="872"/>
      <c r="K123" s="872"/>
      <c r="L123" s="872"/>
      <c r="M123" s="872"/>
      <c r="N123" s="872"/>
    </row>
    <row r="124" spans="1:14" x14ac:dyDescent="0.25">
      <c r="A124" s="872"/>
      <c r="B124" s="872"/>
      <c r="C124" s="872"/>
      <c r="D124" s="872"/>
      <c r="E124" s="872"/>
      <c r="F124" s="872"/>
      <c r="G124" s="872"/>
      <c r="H124" s="872"/>
      <c r="I124" s="872"/>
      <c r="J124" s="872"/>
      <c r="K124" s="872"/>
      <c r="L124" s="872"/>
      <c r="M124" s="872"/>
      <c r="N124" s="872"/>
    </row>
    <row r="125" spans="1:14" x14ac:dyDescent="0.25">
      <c r="A125" s="872"/>
      <c r="B125" s="872"/>
      <c r="C125" s="872"/>
      <c r="D125" s="872"/>
      <c r="E125" s="872"/>
      <c r="F125" s="872"/>
      <c r="G125" s="872"/>
      <c r="H125" s="872"/>
      <c r="I125" s="872"/>
      <c r="J125" s="872"/>
      <c r="K125" s="872"/>
      <c r="L125" s="872"/>
      <c r="M125" s="872"/>
      <c r="N125" s="872"/>
    </row>
    <row r="126" spans="1:14" x14ac:dyDescent="0.25">
      <c r="A126" s="872"/>
      <c r="B126" s="872"/>
      <c r="C126" s="872"/>
      <c r="D126" s="872"/>
      <c r="E126" s="872"/>
      <c r="F126" s="872"/>
      <c r="G126" s="872"/>
      <c r="H126" s="872"/>
      <c r="I126" s="872"/>
      <c r="J126" s="872"/>
      <c r="K126" s="872"/>
      <c r="L126" s="872"/>
      <c r="M126" s="872"/>
      <c r="N126" s="872"/>
    </row>
    <row r="127" spans="1:14" x14ac:dyDescent="0.25">
      <c r="A127" s="872"/>
      <c r="B127" s="872"/>
      <c r="C127" s="872"/>
      <c r="D127" s="872"/>
      <c r="E127" s="872"/>
      <c r="F127" s="872"/>
      <c r="G127" s="872"/>
      <c r="H127" s="872"/>
      <c r="I127" s="872"/>
      <c r="J127" s="872"/>
      <c r="K127" s="872"/>
      <c r="L127" s="872"/>
      <c r="M127" s="872"/>
      <c r="N127" s="872"/>
    </row>
    <row r="128" spans="1:14" x14ac:dyDescent="0.25">
      <c r="A128" s="872"/>
      <c r="B128" s="872"/>
      <c r="C128" s="872"/>
      <c r="D128" s="872"/>
      <c r="E128" s="872"/>
      <c r="F128" s="872"/>
      <c r="G128" s="872"/>
      <c r="H128" s="872"/>
      <c r="I128" s="872"/>
      <c r="J128" s="872"/>
      <c r="K128" s="872"/>
      <c r="L128" s="872"/>
      <c r="M128" s="872"/>
      <c r="N128" s="872"/>
    </row>
    <row r="129" spans="1:14" x14ac:dyDescent="0.25">
      <c r="A129" s="872"/>
      <c r="B129" s="872"/>
      <c r="C129" s="872"/>
      <c r="D129" s="872"/>
      <c r="E129" s="872"/>
      <c r="F129" s="872"/>
      <c r="G129" s="872"/>
      <c r="H129" s="872"/>
      <c r="I129" s="872"/>
      <c r="J129" s="872"/>
      <c r="K129" s="872"/>
      <c r="L129" s="872"/>
      <c r="M129" s="872"/>
      <c r="N129" s="872"/>
    </row>
    <row r="130" spans="1:14" x14ac:dyDescent="0.25">
      <c r="A130" s="872"/>
      <c r="B130" s="872"/>
      <c r="C130" s="872"/>
      <c r="D130" s="872"/>
      <c r="E130" s="872"/>
      <c r="F130" s="872"/>
      <c r="G130" s="872"/>
      <c r="H130" s="872"/>
      <c r="I130" s="872"/>
      <c r="J130" s="872"/>
      <c r="K130" s="872"/>
      <c r="L130" s="872"/>
      <c r="M130" s="872"/>
      <c r="N130" s="872"/>
    </row>
    <row r="131" spans="1:14" x14ac:dyDescent="0.25">
      <c r="A131" s="872"/>
      <c r="B131" s="872"/>
      <c r="C131" s="872"/>
      <c r="D131" s="872"/>
      <c r="E131" s="872"/>
      <c r="F131" s="872"/>
      <c r="G131" s="872"/>
      <c r="H131" s="872"/>
      <c r="I131" s="872"/>
      <c r="J131" s="872"/>
      <c r="K131" s="872"/>
      <c r="L131" s="872"/>
      <c r="M131" s="872"/>
      <c r="N131" s="872"/>
    </row>
    <row r="132" spans="1:14" x14ac:dyDescent="0.25">
      <c r="A132" s="872"/>
      <c r="B132" s="872"/>
      <c r="C132" s="872"/>
      <c r="D132" s="872"/>
      <c r="E132" s="872"/>
      <c r="F132" s="872"/>
      <c r="G132" s="872"/>
      <c r="H132" s="872"/>
      <c r="I132" s="872"/>
      <c r="J132" s="872"/>
      <c r="K132" s="872"/>
      <c r="L132" s="872"/>
      <c r="M132" s="872"/>
      <c r="N132" s="872"/>
    </row>
    <row r="133" spans="1:14" x14ac:dyDescent="0.25">
      <c r="A133" s="872"/>
      <c r="B133" s="872"/>
      <c r="C133" s="872"/>
      <c r="D133" s="872"/>
      <c r="E133" s="872"/>
      <c r="F133" s="872"/>
      <c r="G133" s="872"/>
      <c r="H133" s="872"/>
      <c r="I133" s="872"/>
      <c r="J133" s="872"/>
      <c r="K133" s="872"/>
      <c r="L133" s="872"/>
      <c r="M133" s="872"/>
      <c r="N133" s="872"/>
    </row>
    <row r="134" spans="1:14" x14ac:dyDescent="0.25">
      <c r="A134" s="872"/>
      <c r="B134" s="872"/>
      <c r="C134" s="872"/>
      <c r="D134" s="872"/>
      <c r="E134" s="872"/>
      <c r="F134" s="872"/>
      <c r="G134" s="872"/>
      <c r="H134" s="872"/>
      <c r="I134" s="872"/>
      <c r="J134" s="872"/>
      <c r="K134" s="872"/>
      <c r="L134" s="872"/>
      <c r="M134" s="872"/>
      <c r="N134" s="872"/>
    </row>
    <row r="135" spans="1:14" x14ac:dyDescent="0.25">
      <c r="A135" s="872"/>
      <c r="B135" s="872"/>
      <c r="C135" s="872"/>
      <c r="D135" s="872"/>
      <c r="E135" s="872"/>
      <c r="F135" s="872"/>
      <c r="G135" s="872"/>
      <c r="H135" s="872"/>
      <c r="I135" s="872"/>
      <c r="J135" s="872"/>
      <c r="K135" s="872"/>
      <c r="L135" s="872"/>
      <c r="M135" s="872"/>
      <c r="N135" s="872"/>
    </row>
    <row r="136" spans="1:14" x14ac:dyDescent="0.25">
      <c r="A136" s="872"/>
      <c r="B136" s="872"/>
      <c r="C136" s="872"/>
      <c r="D136" s="872"/>
      <c r="E136" s="872"/>
      <c r="F136" s="872"/>
      <c r="G136" s="872"/>
      <c r="H136" s="872"/>
      <c r="I136" s="872"/>
      <c r="J136" s="872"/>
      <c r="K136" s="872"/>
      <c r="L136" s="872"/>
      <c r="M136" s="872"/>
      <c r="N136" s="872"/>
    </row>
    <row r="137" spans="1:14" x14ac:dyDescent="0.25">
      <c r="A137" s="872"/>
      <c r="B137" s="872"/>
      <c r="C137" s="872"/>
      <c r="D137" s="872"/>
      <c r="E137" s="872"/>
      <c r="F137" s="872"/>
      <c r="G137" s="872"/>
      <c r="H137" s="872"/>
      <c r="I137" s="872"/>
      <c r="J137" s="872"/>
      <c r="K137" s="872"/>
      <c r="L137" s="872"/>
      <c r="M137" s="872"/>
      <c r="N137" s="872"/>
    </row>
    <row r="138" spans="1:14" x14ac:dyDescent="0.25">
      <c r="A138" s="872"/>
      <c r="B138" s="872"/>
      <c r="C138" s="872"/>
      <c r="D138" s="872"/>
      <c r="E138" s="872"/>
      <c r="F138" s="872"/>
      <c r="G138" s="872"/>
      <c r="H138" s="872"/>
      <c r="I138" s="872"/>
      <c r="J138" s="872"/>
      <c r="K138" s="872"/>
      <c r="L138" s="872"/>
      <c r="M138" s="872"/>
      <c r="N138" s="872"/>
    </row>
    <row r="139" spans="1:14" x14ac:dyDescent="0.25">
      <c r="A139" s="872"/>
      <c r="B139" s="872"/>
      <c r="C139" s="872"/>
      <c r="D139" s="872"/>
      <c r="E139" s="872"/>
      <c r="F139" s="872"/>
      <c r="G139" s="872"/>
      <c r="H139" s="872"/>
      <c r="I139" s="872"/>
      <c r="J139" s="872"/>
      <c r="K139" s="872"/>
      <c r="L139" s="872"/>
      <c r="M139" s="872"/>
      <c r="N139" s="872"/>
    </row>
    <row r="140" spans="1:14" x14ac:dyDescent="0.25">
      <c r="A140" s="872"/>
      <c r="B140" s="872"/>
      <c r="C140" s="872"/>
      <c r="D140" s="872"/>
      <c r="E140" s="872"/>
      <c r="F140" s="872"/>
      <c r="G140" s="872"/>
      <c r="H140" s="872"/>
      <c r="I140" s="872"/>
      <c r="J140" s="872"/>
      <c r="K140" s="872"/>
      <c r="L140" s="872"/>
      <c r="M140" s="872"/>
      <c r="N140" s="872"/>
    </row>
    <row r="141" spans="1:14" x14ac:dyDescent="0.25">
      <c r="A141" s="872"/>
      <c r="B141" s="872"/>
      <c r="C141" s="872"/>
      <c r="D141" s="872"/>
      <c r="E141" s="872"/>
      <c r="F141" s="872"/>
      <c r="G141" s="872"/>
      <c r="H141" s="872"/>
      <c r="I141" s="872"/>
      <c r="J141" s="872"/>
      <c r="K141" s="872"/>
      <c r="L141" s="872"/>
      <c r="M141" s="872"/>
      <c r="N141" s="872"/>
    </row>
    <row r="142" spans="1:14" x14ac:dyDescent="0.25">
      <c r="A142" s="872"/>
      <c r="B142" s="872"/>
      <c r="C142" s="872"/>
      <c r="D142" s="872"/>
      <c r="E142" s="872"/>
      <c r="F142" s="872"/>
      <c r="G142" s="872"/>
      <c r="H142" s="872"/>
      <c r="I142" s="872"/>
      <c r="J142" s="872"/>
      <c r="K142" s="872"/>
      <c r="L142" s="872"/>
      <c r="M142" s="872"/>
      <c r="N142" s="872"/>
    </row>
    <row r="143" spans="1:14" x14ac:dyDescent="0.25">
      <c r="A143" s="872"/>
      <c r="B143" s="872"/>
      <c r="C143" s="872"/>
      <c r="D143" s="872"/>
      <c r="E143" s="872"/>
      <c r="F143" s="872"/>
      <c r="G143" s="872"/>
      <c r="H143" s="872"/>
      <c r="I143" s="872"/>
      <c r="J143" s="872"/>
      <c r="K143" s="872"/>
      <c r="L143" s="872"/>
      <c r="M143" s="872"/>
      <c r="N143" s="872"/>
    </row>
    <row r="144" spans="1:14" x14ac:dyDescent="0.25">
      <c r="A144" s="872"/>
      <c r="B144" s="872"/>
      <c r="C144" s="872"/>
      <c r="D144" s="872"/>
      <c r="E144" s="872"/>
      <c r="F144" s="872"/>
      <c r="G144" s="872"/>
      <c r="H144" s="872"/>
      <c r="I144" s="872"/>
      <c r="J144" s="872"/>
      <c r="K144" s="872"/>
      <c r="L144" s="872"/>
      <c r="M144" s="872"/>
      <c r="N144" s="872"/>
    </row>
    <row r="145" spans="1:14" x14ac:dyDescent="0.25">
      <c r="A145" s="872"/>
      <c r="B145" s="872"/>
      <c r="C145" s="872"/>
      <c r="D145" s="872"/>
      <c r="E145" s="872"/>
      <c r="F145" s="872"/>
      <c r="G145" s="872"/>
      <c r="H145" s="872"/>
      <c r="I145" s="872"/>
      <c r="J145" s="872"/>
      <c r="K145" s="872"/>
      <c r="L145" s="872"/>
      <c r="M145" s="872"/>
      <c r="N145" s="872"/>
    </row>
    <row r="146" spans="1:14" x14ac:dyDescent="0.25">
      <c r="A146" s="872"/>
      <c r="B146" s="872"/>
      <c r="C146" s="872"/>
      <c r="D146" s="872"/>
      <c r="E146" s="872"/>
      <c r="F146" s="872"/>
      <c r="G146" s="872"/>
      <c r="H146" s="872"/>
      <c r="I146" s="872"/>
      <c r="J146" s="872"/>
      <c r="K146" s="872"/>
      <c r="L146" s="872"/>
      <c r="M146" s="872"/>
      <c r="N146" s="872"/>
    </row>
    <row r="147" spans="1:14" x14ac:dyDescent="0.25">
      <c r="A147" s="872"/>
      <c r="B147" s="872"/>
      <c r="C147" s="872"/>
      <c r="D147" s="872"/>
      <c r="E147" s="872"/>
      <c r="F147" s="872"/>
      <c r="G147" s="872"/>
      <c r="H147" s="872"/>
      <c r="I147" s="872"/>
      <c r="J147" s="872"/>
      <c r="K147" s="872"/>
      <c r="L147" s="872"/>
      <c r="M147" s="872"/>
      <c r="N147" s="872"/>
    </row>
    <row r="148" spans="1:14" x14ac:dyDescent="0.25">
      <c r="A148" s="872"/>
      <c r="B148" s="872"/>
      <c r="C148" s="872"/>
      <c r="D148" s="872"/>
      <c r="E148" s="872"/>
      <c r="F148" s="872"/>
      <c r="G148" s="872"/>
      <c r="H148" s="872"/>
      <c r="I148" s="872"/>
      <c r="J148" s="872"/>
      <c r="K148" s="872"/>
      <c r="L148" s="872"/>
      <c r="M148" s="872"/>
      <c r="N148" s="872"/>
    </row>
    <row r="149" spans="1:14" x14ac:dyDescent="0.25">
      <c r="A149" s="872"/>
      <c r="B149" s="872"/>
      <c r="C149" s="872"/>
      <c r="D149" s="872"/>
      <c r="E149" s="872"/>
      <c r="F149" s="872"/>
      <c r="G149" s="872"/>
      <c r="H149" s="872"/>
      <c r="I149" s="872"/>
      <c r="J149" s="872"/>
      <c r="K149" s="872"/>
      <c r="L149" s="872"/>
      <c r="M149" s="872"/>
      <c r="N149" s="872"/>
    </row>
    <row r="150" spans="1:14" x14ac:dyDescent="0.25">
      <c r="A150" s="872"/>
      <c r="B150" s="872"/>
      <c r="C150" s="872"/>
      <c r="D150" s="872"/>
      <c r="E150" s="872"/>
      <c r="F150" s="872"/>
      <c r="G150" s="872"/>
      <c r="H150" s="872"/>
      <c r="I150" s="872"/>
      <c r="J150" s="872"/>
      <c r="K150" s="872"/>
      <c r="L150" s="872"/>
      <c r="M150" s="872"/>
      <c r="N150" s="872"/>
    </row>
    <row r="151" spans="1:14" x14ac:dyDescent="0.25">
      <c r="A151" s="872"/>
      <c r="B151" s="872"/>
      <c r="C151" s="872"/>
      <c r="D151" s="872"/>
      <c r="E151" s="872"/>
      <c r="F151" s="872"/>
      <c r="G151" s="872"/>
      <c r="H151" s="872"/>
      <c r="I151" s="872"/>
      <c r="J151" s="872"/>
      <c r="K151" s="872"/>
      <c r="L151" s="872"/>
      <c r="M151" s="872"/>
      <c r="N151" s="872"/>
    </row>
    <row r="152" spans="1:14" x14ac:dyDescent="0.25">
      <c r="A152" s="872"/>
      <c r="B152" s="872"/>
      <c r="C152" s="872"/>
      <c r="D152" s="872"/>
      <c r="E152" s="872"/>
      <c r="F152" s="872"/>
      <c r="G152" s="872"/>
      <c r="H152" s="872"/>
      <c r="I152" s="872"/>
      <c r="J152" s="872"/>
      <c r="K152" s="872"/>
      <c r="L152" s="872"/>
      <c r="M152" s="872"/>
      <c r="N152" s="872"/>
    </row>
    <row r="153" spans="1:14" x14ac:dyDescent="0.25">
      <c r="A153" s="872"/>
      <c r="B153" s="872"/>
      <c r="C153" s="872"/>
      <c r="D153" s="872"/>
      <c r="E153" s="872"/>
      <c r="F153" s="872"/>
      <c r="G153" s="872"/>
      <c r="H153" s="872"/>
      <c r="I153" s="872"/>
      <c r="J153" s="872"/>
      <c r="K153" s="872"/>
      <c r="L153" s="872"/>
      <c r="M153" s="872"/>
      <c r="N153" s="872"/>
    </row>
    <row r="154" spans="1:14" x14ac:dyDescent="0.25">
      <c r="A154" s="872"/>
      <c r="B154" s="872"/>
      <c r="C154" s="872"/>
      <c r="D154" s="872"/>
      <c r="E154" s="872"/>
      <c r="F154" s="872"/>
      <c r="G154" s="872"/>
      <c r="H154" s="872"/>
      <c r="I154" s="872"/>
      <c r="J154" s="872"/>
      <c r="K154" s="872"/>
      <c r="L154" s="872"/>
      <c r="M154" s="872"/>
      <c r="N154" s="872"/>
    </row>
    <row r="155" spans="1:14" x14ac:dyDescent="0.25">
      <c r="A155" s="872"/>
      <c r="B155" s="872"/>
      <c r="C155" s="872"/>
      <c r="D155" s="872"/>
      <c r="E155" s="872"/>
      <c r="F155" s="872"/>
      <c r="G155" s="872"/>
      <c r="H155" s="872"/>
      <c r="I155" s="872"/>
      <c r="J155" s="872"/>
      <c r="K155" s="872"/>
      <c r="L155" s="872"/>
      <c r="M155" s="872"/>
      <c r="N155" s="872"/>
    </row>
    <row r="156" spans="1:14" x14ac:dyDescent="0.25">
      <c r="A156" s="872"/>
      <c r="B156" s="872"/>
      <c r="C156" s="872"/>
      <c r="D156" s="872"/>
      <c r="E156" s="872"/>
      <c r="F156" s="872"/>
      <c r="G156" s="872"/>
      <c r="H156" s="872"/>
      <c r="I156" s="872"/>
      <c r="J156" s="872"/>
      <c r="K156" s="872"/>
      <c r="L156" s="872"/>
      <c r="M156" s="872"/>
      <c r="N156" s="872"/>
    </row>
    <row r="157" spans="1:14" x14ac:dyDescent="0.25">
      <c r="A157" s="872"/>
      <c r="B157" s="872"/>
      <c r="C157" s="872"/>
      <c r="D157" s="872"/>
      <c r="E157" s="872"/>
      <c r="F157" s="872"/>
      <c r="G157" s="872"/>
      <c r="H157" s="872"/>
      <c r="I157" s="872"/>
      <c r="J157" s="872"/>
      <c r="K157" s="872"/>
      <c r="L157" s="872"/>
      <c r="M157" s="872"/>
      <c r="N157" s="872"/>
    </row>
    <row r="158" spans="1:14" x14ac:dyDescent="0.25">
      <c r="A158" s="872"/>
      <c r="B158" s="872"/>
      <c r="C158" s="872"/>
      <c r="D158" s="872"/>
      <c r="E158" s="872"/>
      <c r="F158" s="872"/>
      <c r="G158" s="872"/>
      <c r="H158" s="872"/>
      <c r="I158" s="872"/>
      <c r="J158" s="872"/>
      <c r="K158" s="872"/>
      <c r="L158" s="872"/>
      <c r="M158" s="872"/>
      <c r="N158" s="872"/>
    </row>
    <row r="159" spans="1:14" x14ac:dyDescent="0.25">
      <c r="A159" s="872"/>
      <c r="B159" s="872"/>
      <c r="C159" s="872"/>
      <c r="D159" s="872"/>
      <c r="E159" s="872"/>
      <c r="F159" s="872"/>
      <c r="G159" s="872"/>
      <c r="H159" s="872"/>
      <c r="I159" s="872"/>
      <c r="J159" s="872"/>
      <c r="K159" s="872"/>
      <c r="L159" s="872"/>
      <c r="M159" s="872"/>
      <c r="N159" s="872"/>
    </row>
    <row r="160" spans="1:14" x14ac:dyDescent="0.25">
      <c r="A160" s="872"/>
      <c r="B160" s="872"/>
      <c r="C160" s="872"/>
      <c r="D160" s="872"/>
      <c r="E160" s="872"/>
      <c r="F160" s="872"/>
      <c r="G160" s="872"/>
      <c r="H160" s="872"/>
      <c r="I160" s="872"/>
      <c r="J160" s="872"/>
      <c r="K160" s="872"/>
      <c r="L160" s="872"/>
      <c r="M160" s="872"/>
      <c r="N160" s="872"/>
    </row>
    <row r="161" spans="1:14" x14ac:dyDescent="0.25">
      <c r="A161" s="872"/>
      <c r="B161" s="872"/>
      <c r="C161" s="872"/>
      <c r="D161" s="872"/>
      <c r="E161" s="872"/>
      <c r="F161" s="872"/>
      <c r="G161" s="872"/>
      <c r="H161" s="872"/>
      <c r="I161" s="872"/>
      <c r="J161" s="872"/>
      <c r="K161" s="872"/>
      <c r="L161" s="872"/>
      <c r="M161" s="872"/>
      <c r="N161" s="872"/>
    </row>
    <row r="162" spans="1:14" x14ac:dyDescent="0.25">
      <c r="A162" s="872"/>
      <c r="B162" s="872"/>
      <c r="C162" s="872"/>
      <c r="D162" s="872"/>
      <c r="E162" s="872"/>
      <c r="F162" s="872"/>
      <c r="G162" s="872"/>
      <c r="H162" s="872"/>
      <c r="I162" s="872"/>
      <c r="J162" s="872"/>
      <c r="K162" s="872"/>
      <c r="L162" s="872"/>
      <c r="M162" s="872"/>
      <c r="N162" s="872"/>
    </row>
    <row r="163" spans="1:14" x14ac:dyDescent="0.25">
      <c r="A163" s="872"/>
      <c r="B163" s="872"/>
      <c r="C163" s="872"/>
      <c r="D163" s="872"/>
      <c r="E163" s="872"/>
      <c r="F163" s="872"/>
      <c r="G163" s="872"/>
      <c r="H163" s="872"/>
      <c r="I163" s="872"/>
      <c r="J163" s="872"/>
      <c r="K163" s="872"/>
      <c r="L163" s="872"/>
      <c r="M163" s="872"/>
      <c r="N163" s="872"/>
    </row>
    <row r="164" spans="1:14" x14ac:dyDescent="0.25">
      <c r="A164" s="872"/>
      <c r="B164" s="872"/>
      <c r="C164" s="872"/>
      <c r="D164" s="872"/>
      <c r="E164" s="872"/>
      <c r="F164" s="872"/>
      <c r="G164" s="872"/>
      <c r="H164" s="872"/>
      <c r="I164" s="872"/>
      <c r="J164" s="872"/>
      <c r="K164" s="872"/>
      <c r="L164" s="872"/>
      <c r="M164" s="872"/>
      <c r="N164" s="872"/>
    </row>
    <row r="165" spans="1:14" x14ac:dyDescent="0.25">
      <c r="A165" s="872"/>
      <c r="B165" s="872"/>
      <c r="C165" s="872"/>
      <c r="D165" s="872"/>
      <c r="E165" s="872"/>
      <c r="F165" s="872"/>
      <c r="G165" s="872"/>
      <c r="H165" s="872"/>
      <c r="I165" s="872"/>
      <c r="J165" s="872"/>
      <c r="K165" s="872"/>
      <c r="L165" s="872"/>
      <c r="M165" s="872"/>
      <c r="N165" s="872"/>
    </row>
    <row r="166" spans="1:14" x14ac:dyDescent="0.25">
      <c r="A166" s="872"/>
      <c r="B166" s="872"/>
      <c r="C166" s="872"/>
      <c r="D166" s="872"/>
      <c r="E166" s="872"/>
      <c r="F166" s="872"/>
      <c r="G166" s="872"/>
      <c r="H166" s="872"/>
      <c r="I166" s="872"/>
      <c r="J166" s="872"/>
      <c r="K166" s="872"/>
      <c r="L166" s="872"/>
      <c r="M166" s="872"/>
      <c r="N166" s="872"/>
    </row>
    <row r="167" spans="1:14" x14ac:dyDescent="0.25">
      <c r="A167" s="872"/>
      <c r="B167" s="872"/>
      <c r="C167" s="872"/>
      <c r="D167" s="872"/>
      <c r="E167" s="872"/>
      <c r="F167" s="872"/>
      <c r="G167" s="872"/>
      <c r="H167" s="872"/>
      <c r="I167" s="872"/>
      <c r="J167" s="872"/>
      <c r="K167" s="872"/>
      <c r="L167" s="872"/>
      <c r="M167" s="872"/>
      <c r="N167" s="872"/>
    </row>
    <row r="168" spans="1:14" x14ac:dyDescent="0.25">
      <c r="A168" s="872"/>
      <c r="B168" s="872"/>
      <c r="C168" s="872"/>
      <c r="D168" s="872"/>
      <c r="E168" s="872"/>
      <c r="F168" s="872"/>
      <c r="G168" s="872"/>
      <c r="H168" s="872"/>
      <c r="I168" s="872"/>
      <c r="J168" s="872"/>
      <c r="K168" s="872"/>
      <c r="L168" s="872"/>
      <c r="M168" s="872"/>
      <c r="N168" s="872"/>
    </row>
    <row r="169" spans="1:14" x14ac:dyDescent="0.25">
      <c r="A169" s="872"/>
      <c r="B169" s="872"/>
      <c r="C169" s="872"/>
      <c r="D169" s="872"/>
      <c r="E169" s="872"/>
      <c r="F169" s="872"/>
      <c r="G169" s="872"/>
      <c r="H169" s="872"/>
      <c r="I169" s="872"/>
      <c r="J169" s="872"/>
      <c r="K169" s="872"/>
      <c r="L169" s="872"/>
      <c r="M169" s="872"/>
      <c r="N169" s="872"/>
    </row>
    <row r="170" spans="1:14" x14ac:dyDescent="0.25">
      <c r="A170" s="872"/>
      <c r="B170" s="872"/>
      <c r="C170" s="872"/>
      <c r="D170" s="872"/>
      <c r="E170" s="872"/>
      <c r="F170" s="872"/>
      <c r="G170" s="872"/>
      <c r="H170" s="872"/>
      <c r="I170" s="872"/>
      <c r="J170" s="872"/>
      <c r="K170" s="872"/>
      <c r="L170" s="872"/>
      <c r="M170" s="872"/>
      <c r="N170" s="872"/>
    </row>
    <row r="171" spans="1:14" x14ac:dyDescent="0.25">
      <c r="A171" s="872"/>
      <c r="B171" s="872"/>
      <c r="C171" s="872"/>
      <c r="D171" s="872"/>
      <c r="E171" s="872"/>
      <c r="F171" s="872"/>
      <c r="G171" s="872"/>
      <c r="H171" s="872"/>
      <c r="I171" s="872"/>
      <c r="J171" s="872"/>
      <c r="K171" s="872"/>
      <c r="L171" s="872"/>
      <c r="M171" s="872"/>
      <c r="N171" s="872"/>
    </row>
    <row r="172" spans="1:14" x14ac:dyDescent="0.25">
      <c r="A172" s="872"/>
      <c r="B172" s="872"/>
      <c r="C172" s="872"/>
      <c r="D172" s="872"/>
      <c r="E172" s="872"/>
      <c r="F172" s="872"/>
      <c r="G172" s="872"/>
      <c r="H172" s="872"/>
      <c r="I172" s="872"/>
      <c r="J172" s="872"/>
      <c r="K172" s="872"/>
      <c r="L172" s="872"/>
      <c r="M172" s="872"/>
      <c r="N172" s="872"/>
    </row>
    <row r="173" spans="1:14" x14ac:dyDescent="0.25">
      <c r="A173" s="872"/>
      <c r="B173" s="872"/>
      <c r="C173" s="872"/>
      <c r="D173" s="872"/>
      <c r="E173" s="872"/>
      <c r="F173" s="872"/>
      <c r="G173" s="872"/>
      <c r="H173" s="872"/>
      <c r="I173" s="872"/>
      <c r="J173" s="872"/>
      <c r="K173" s="872"/>
      <c r="L173" s="872"/>
      <c r="M173" s="872"/>
      <c r="N173" s="872"/>
    </row>
    <row r="174" spans="1:14" x14ac:dyDescent="0.25">
      <c r="A174" s="872"/>
      <c r="B174" s="872"/>
      <c r="C174" s="872"/>
      <c r="D174" s="872"/>
      <c r="E174" s="872"/>
      <c r="F174" s="872"/>
      <c r="G174" s="872"/>
      <c r="H174" s="872"/>
      <c r="I174" s="872"/>
      <c r="J174" s="872"/>
      <c r="K174" s="872"/>
      <c r="L174" s="872"/>
      <c r="M174" s="872"/>
      <c r="N174" s="872"/>
    </row>
    <row r="175" spans="1:14" x14ac:dyDescent="0.25">
      <c r="A175" s="872"/>
      <c r="B175" s="872"/>
      <c r="C175" s="872"/>
      <c r="D175" s="872"/>
      <c r="E175" s="872"/>
      <c r="F175" s="872"/>
      <c r="G175" s="872"/>
      <c r="H175" s="872"/>
      <c r="I175" s="872"/>
      <c r="J175" s="872"/>
      <c r="K175" s="872"/>
      <c r="L175" s="872"/>
      <c r="M175" s="872"/>
      <c r="N175" s="872"/>
    </row>
    <row r="176" spans="1:14" x14ac:dyDescent="0.25">
      <c r="A176" s="872"/>
      <c r="B176" s="872"/>
      <c r="C176" s="872"/>
      <c r="D176" s="872"/>
      <c r="E176" s="872"/>
      <c r="F176" s="872"/>
      <c r="G176" s="872"/>
      <c r="H176" s="872"/>
      <c r="I176" s="872"/>
      <c r="J176" s="872"/>
      <c r="K176" s="872"/>
      <c r="L176" s="872"/>
      <c r="M176" s="872"/>
      <c r="N176" s="872"/>
    </row>
    <row r="177" spans="1:14" x14ac:dyDescent="0.25">
      <c r="A177" s="872"/>
      <c r="B177" s="872"/>
      <c r="C177" s="872"/>
      <c r="D177" s="872"/>
      <c r="E177" s="872"/>
      <c r="F177" s="872"/>
      <c r="G177" s="872"/>
      <c r="H177" s="872"/>
      <c r="I177" s="872"/>
      <c r="J177" s="872"/>
      <c r="K177" s="872"/>
      <c r="L177" s="872"/>
      <c r="M177" s="872"/>
      <c r="N177" s="872"/>
    </row>
    <row r="178" spans="1:14" x14ac:dyDescent="0.25">
      <c r="A178" s="872"/>
      <c r="B178" s="872"/>
      <c r="C178" s="872"/>
      <c r="D178" s="872"/>
      <c r="E178" s="872"/>
      <c r="F178" s="872"/>
      <c r="G178" s="872"/>
      <c r="H178" s="872"/>
      <c r="I178" s="872"/>
      <c r="J178" s="872"/>
      <c r="K178" s="872"/>
      <c r="L178" s="872"/>
      <c r="M178" s="872"/>
      <c r="N178" s="872"/>
    </row>
    <row r="179" spans="1:14" x14ac:dyDescent="0.25">
      <c r="A179" s="872"/>
      <c r="B179" s="872"/>
      <c r="C179" s="872"/>
      <c r="D179" s="872"/>
      <c r="E179" s="872"/>
      <c r="F179" s="872"/>
      <c r="G179" s="872"/>
      <c r="H179" s="872"/>
      <c r="I179" s="872"/>
      <c r="J179" s="872"/>
      <c r="K179" s="872"/>
      <c r="L179" s="872"/>
      <c r="M179" s="872"/>
      <c r="N179" s="872"/>
    </row>
    <row r="180" spans="1:14" x14ac:dyDescent="0.25">
      <c r="A180" s="872"/>
      <c r="B180" s="872"/>
      <c r="C180" s="872"/>
      <c r="D180" s="872"/>
      <c r="E180" s="872"/>
      <c r="F180" s="872"/>
      <c r="G180" s="872"/>
      <c r="H180" s="872"/>
      <c r="I180" s="872"/>
      <c r="J180" s="872"/>
      <c r="K180" s="872"/>
      <c r="L180" s="872"/>
      <c r="M180" s="872"/>
      <c r="N180" s="872"/>
    </row>
    <row r="181" spans="1:14" x14ac:dyDescent="0.25">
      <c r="A181" s="872"/>
      <c r="B181" s="872"/>
      <c r="C181" s="872"/>
      <c r="D181" s="872"/>
      <c r="E181" s="872"/>
      <c r="F181" s="872"/>
      <c r="G181" s="872"/>
      <c r="H181" s="872"/>
      <c r="I181" s="872"/>
      <c r="J181" s="872"/>
      <c r="K181" s="872"/>
      <c r="L181" s="872"/>
      <c r="M181" s="872"/>
      <c r="N181" s="872"/>
    </row>
    <row r="182" spans="1:14" x14ac:dyDescent="0.25">
      <c r="A182" s="872"/>
      <c r="B182" s="872"/>
      <c r="C182" s="872"/>
      <c r="D182" s="872"/>
      <c r="E182" s="872"/>
      <c r="F182" s="872"/>
      <c r="G182" s="872"/>
      <c r="H182" s="872"/>
      <c r="I182" s="872"/>
      <c r="J182" s="872"/>
      <c r="K182" s="872"/>
      <c r="L182" s="872"/>
      <c r="M182" s="872"/>
      <c r="N182" s="872"/>
    </row>
    <row r="183" spans="1:14" x14ac:dyDescent="0.25">
      <c r="A183" s="872"/>
      <c r="B183" s="872"/>
      <c r="C183" s="872"/>
      <c r="D183" s="872"/>
      <c r="E183" s="872"/>
      <c r="F183" s="872"/>
      <c r="G183" s="872"/>
      <c r="H183" s="872"/>
      <c r="I183" s="872"/>
      <c r="J183" s="872"/>
      <c r="K183" s="872"/>
      <c r="L183" s="872"/>
      <c r="M183" s="872"/>
      <c r="N183" s="872"/>
    </row>
    <row r="184" spans="1:14" x14ac:dyDescent="0.25">
      <c r="A184" s="872"/>
      <c r="B184" s="872"/>
      <c r="C184" s="872"/>
      <c r="D184" s="872"/>
      <c r="E184" s="872"/>
      <c r="F184" s="872"/>
      <c r="G184" s="872"/>
      <c r="H184" s="872"/>
      <c r="I184" s="872"/>
      <c r="J184" s="872"/>
      <c r="K184" s="872"/>
      <c r="L184" s="872"/>
      <c r="M184" s="872"/>
      <c r="N184" s="872"/>
    </row>
    <row r="185" spans="1:14" x14ac:dyDescent="0.25">
      <c r="A185" s="872"/>
      <c r="B185" s="872"/>
      <c r="C185" s="872"/>
      <c r="D185" s="872"/>
      <c r="E185" s="872"/>
      <c r="F185" s="872"/>
      <c r="G185" s="872"/>
      <c r="H185" s="872"/>
      <c r="I185" s="872"/>
      <c r="J185" s="872"/>
      <c r="K185" s="872"/>
      <c r="L185" s="872"/>
      <c r="M185" s="872"/>
      <c r="N185" s="872"/>
    </row>
    <row r="186" spans="1:14" x14ac:dyDescent="0.25">
      <c r="A186" s="872"/>
      <c r="B186" s="872"/>
      <c r="C186" s="872"/>
      <c r="D186" s="872"/>
      <c r="E186" s="872"/>
      <c r="F186" s="872"/>
      <c r="G186" s="872"/>
      <c r="H186" s="872"/>
      <c r="I186" s="872"/>
      <c r="J186" s="872"/>
      <c r="K186" s="872"/>
      <c r="L186" s="872"/>
      <c r="M186" s="872"/>
      <c r="N186" s="872"/>
    </row>
    <row r="187" spans="1:14" x14ac:dyDescent="0.25">
      <c r="A187" s="872"/>
      <c r="B187" s="872"/>
      <c r="C187" s="872"/>
      <c r="D187" s="872"/>
      <c r="E187" s="872"/>
      <c r="F187" s="872"/>
      <c r="G187" s="872"/>
      <c r="H187" s="872"/>
      <c r="I187" s="872"/>
      <c r="J187" s="872"/>
      <c r="K187" s="872"/>
      <c r="L187" s="872"/>
      <c r="M187" s="872"/>
      <c r="N187" s="872"/>
    </row>
    <row r="188" spans="1:14" x14ac:dyDescent="0.25">
      <c r="A188" s="872"/>
      <c r="B188" s="872"/>
      <c r="C188" s="872"/>
      <c r="D188" s="872"/>
      <c r="E188" s="872"/>
      <c r="F188" s="872"/>
      <c r="G188" s="872"/>
      <c r="H188" s="872"/>
      <c r="I188" s="872"/>
      <c r="J188" s="872"/>
      <c r="K188" s="872"/>
      <c r="L188" s="872"/>
      <c r="M188" s="872"/>
      <c r="N188" s="872"/>
    </row>
    <row r="189" spans="1:14" x14ac:dyDescent="0.25">
      <c r="A189" s="872"/>
      <c r="B189" s="872"/>
      <c r="C189" s="872"/>
      <c r="D189" s="872"/>
      <c r="E189" s="872"/>
      <c r="F189" s="872"/>
      <c r="G189" s="872"/>
      <c r="H189" s="872"/>
      <c r="I189" s="872"/>
      <c r="J189" s="872"/>
      <c r="K189" s="872"/>
      <c r="L189" s="872"/>
      <c r="M189" s="872"/>
      <c r="N189" s="872"/>
    </row>
    <row r="190" spans="1:14" x14ac:dyDescent="0.25">
      <c r="A190" s="872"/>
      <c r="B190" s="872"/>
      <c r="C190" s="872"/>
      <c r="D190" s="872"/>
      <c r="E190" s="872"/>
      <c r="F190" s="872"/>
      <c r="G190" s="872"/>
      <c r="H190" s="872"/>
      <c r="I190" s="872"/>
      <c r="J190" s="872"/>
      <c r="K190" s="872"/>
      <c r="L190" s="872"/>
      <c r="M190" s="872"/>
      <c r="N190" s="872"/>
    </row>
    <row r="191" spans="1:14" x14ac:dyDescent="0.25">
      <c r="A191" s="872"/>
      <c r="B191" s="872"/>
      <c r="C191" s="872"/>
      <c r="D191" s="872"/>
      <c r="E191" s="872"/>
      <c r="F191" s="872"/>
      <c r="G191" s="872"/>
      <c r="H191" s="872"/>
      <c r="I191" s="872"/>
      <c r="J191" s="872"/>
      <c r="K191" s="872"/>
      <c r="L191" s="872"/>
      <c r="M191" s="872"/>
      <c r="N191" s="872"/>
    </row>
    <row r="192" spans="1:14" x14ac:dyDescent="0.25">
      <c r="A192" s="872"/>
      <c r="B192" s="872"/>
      <c r="C192" s="872"/>
      <c r="D192" s="872"/>
      <c r="E192" s="872"/>
      <c r="F192" s="872"/>
      <c r="G192" s="872"/>
      <c r="H192" s="872"/>
      <c r="I192" s="872"/>
      <c r="J192" s="872"/>
      <c r="K192" s="872"/>
      <c r="L192" s="872"/>
      <c r="M192" s="872"/>
      <c r="N192" s="872"/>
    </row>
    <row r="193" spans="1:14" x14ac:dyDescent="0.25">
      <c r="A193" s="872"/>
      <c r="B193" s="872"/>
      <c r="C193" s="872"/>
      <c r="D193" s="872"/>
      <c r="E193" s="872"/>
      <c r="F193" s="872"/>
      <c r="G193" s="872"/>
      <c r="H193" s="872"/>
      <c r="I193" s="872"/>
      <c r="J193" s="872"/>
      <c r="K193" s="872"/>
      <c r="L193" s="872"/>
      <c r="M193" s="872"/>
      <c r="N193" s="872"/>
    </row>
    <row r="194" spans="1:14" x14ac:dyDescent="0.25">
      <c r="A194" s="872"/>
      <c r="B194" s="872"/>
      <c r="C194" s="872"/>
      <c r="D194" s="872"/>
      <c r="E194" s="872"/>
      <c r="F194" s="872"/>
      <c r="G194" s="872"/>
      <c r="H194" s="872"/>
      <c r="I194" s="872"/>
      <c r="J194" s="872"/>
      <c r="K194" s="872"/>
      <c r="L194" s="872"/>
      <c r="M194" s="872"/>
      <c r="N194" s="872"/>
    </row>
    <row r="195" spans="1:14" x14ac:dyDescent="0.25">
      <c r="A195" s="872"/>
      <c r="B195" s="872"/>
      <c r="C195" s="872"/>
      <c r="D195" s="872"/>
      <c r="E195" s="872"/>
      <c r="F195" s="872"/>
      <c r="G195" s="872"/>
      <c r="H195" s="872"/>
      <c r="I195" s="872"/>
      <c r="J195" s="872"/>
      <c r="K195" s="872"/>
      <c r="L195" s="872"/>
      <c r="M195" s="872"/>
      <c r="N195" s="872"/>
    </row>
    <row r="196" spans="1:14" x14ac:dyDescent="0.25">
      <c r="A196" s="872"/>
      <c r="B196" s="872"/>
      <c r="C196" s="872"/>
      <c r="D196" s="872"/>
      <c r="E196" s="872"/>
      <c r="F196" s="872"/>
      <c r="G196" s="872"/>
      <c r="H196" s="872"/>
      <c r="I196" s="872"/>
      <c r="J196" s="872"/>
      <c r="K196" s="872"/>
      <c r="L196" s="872"/>
      <c r="M196" s="872"/>
      <c r="N196" s="872"/>
    </row>
    <row r="197" spans="1:14" x14ac:dyDescent="0.25">
      <c r="A197" s="872"/>
      <c r="B197" s="872"/>
      <c r="C197" s="872"/>
      <c r="D197" s="872"/>
      <c r="E197" s="872"/>
      <c r="F197" s="872"/>
      <c r="G197" s="872"/>
      <c r="H197" s="872"/>
      <c r="I197" s="872"/>
      <c r="J197" s="872"/>
      <c r="K197" s="872"/>
      <c r="L197" s="872"/>
      <c r="M197" s="872"/>
      <c r="N197" s="872"/>
    </row>
    <row r="198" spans="1:14" x14ac:dyDescent="0.25">
      <c r="A198" s="872"/>
      <c r="B198" s="872"/>
      <c r="C198" s="872"/>
      <c r="D198" s="872"/>
      <c r="E198" s="872"/>
      <c r="F198" s="872"/>
      <c r="G198" s="872"/>
      <c r="H198" s="872"/>
      <c r="I198" s="872"/>
      <c r="J198" s="872"/>
      <c r="K198" s="872"/>
      <c r="L198" s="872"/>
      <c r="M198" s="872"/>
      <c r="N198" s="872"/>
    </row>
    <row r="199" spans="1:14" x14ac:dyDescent="0.25">
      <c r="A199" s="872"/>
      <c r="B199" s="872"/>
      <c r="C199" s="872"/>
      <c r="D199" s="872"/>
      <c r="E199" s="872"/>
      <c r="F199" s="872"/>
      <c r="G199" s="872"/>
      <c r="H199" s="872"/>
      <c r="I199" s="872"/>
      <c r="J199" s="872"/>
      <c r="K199" s="872"/>
      <c r="L199" s="872"/>
      <c r="M199" s="872"/>
      <c r="N199" s="872"/>
    </row>
    <row r="200" spans="1:14" x14ac:dyDescent="0.25">
      <c r="A200" s="872"/>
      <c r="B200" s="872"/>
      <c r="C200" s="872"/>
      <c r="D200" s="872"/>
      <c r="E200" s="872"/>
      <c r="F200" s="872"/>
      <c r="G200" s="872"/>
      <c r="H200" s="872"/>
      <c r="I200" s="872"/>
      <c r="J200" s="872"/>
      <c r="K200" s="872"/>
      <c r="L200" s="872"/>
      <c r="M200" s="872"/>
      <c r="N200" s="872"/>
    </row>
    <row r="201" spans="1:14" x14ac:dyDescent="0.25">
      <c r="A201" s="872"/>
      <c r="B201" s="872"/>
      <c r="C201" s="872"/>
      <c r="D201" s="872"/>
      <c r="E201" s="872"/>
      <c r="F201" s="872"/>
      <c r="G201" s="872"/>
      <c r="H201" s="872"/>
      <c r="I201" s="872"/>
      <c r="J201" s="872"/>
      <c r="K201" s="872"/>
      <c r="L201" s="872"/>
      <c r="M201" s="872"/>
      <c r="N201" s="872"/>
    </row>
    <row r="202" spans="1:14" x14ac:dyDescent="0.25">
      <c r="A202" s="872"/>
      <c r="B202" s="872"/>
      <c r="C202" s="872"/>
      <c r="D202" s="872"/>
      <c r="E202" s="872"/>
      <c r="F202" s="872"/>
      <c r="G202" s="872"/>
      <c r="H202" s="872"/>
      <c r="I202" s="872"/>
      <c r="J202" s="872"/>
      <c r="K202" s="872"/>
      <c r="L202" s="872"/>
      <c r="M202" s="872"/>
      <c r="N202" s="872"/>
    </row>
    <row r="203" spans="1:14" x14ac:dyDescent="0.25">
      <c r="A203" s="872"/>
      <c r="B203" s="872"/>
      <c r="C203" s="872"/>
      <c r="D203" s="872"/>
      <c r="E203" s="872"/>
      <c r="F203" s="872"/>
      <c r="G203" s="872"/>
      <c r="H203" s="872"/>
      <c r="I203" s="872"/>
      <c r="J203" s="872"/>
      <c r="K203" s="872"/>
      <c r="L203" s="872"/>
      <c r="M203" s="872"/>
      <c r="N203" s="872"/>
    </row>
    <row r="204" spans="1:14" x14ac:dyDescent="0.25">
      <c r="A204" s="872"/>
      <c r="B204" s="872"/>
      <c r="C204" s="872"/>
      <c r="D204" s="872"/>
      <c r="E204" s="872"/>
      <c r="F204" s="872"/>
      <c r="G204" s="872"/>
      <c r="H204" s="872"/>
      <c r="I204" s="872"/>
      <c r="J204" s="872"/>
      <c r="K204" s="872"/>
      <c r="L204" s="872"/>
      <c r="M204" s="872"/>
      <c r="N204" s="872"/>
    </row>
    <row r="205" spans="1:14" x14ac:dyDescent="0.25">
      <c r="A205" s="872"/>
      <c r="B205" s="872"/>
      <c r="C205" s="872"/>
      <c r="D205" s="872"/>
      <c r="E205" s="872"/>
      <c r="F205" s="872"/>
      <c r="G205" s="872"/>
      <c r="H205" s="872"/>
      <c r="I205" s="872"/>
      <c r="J205" s="872"/>
      <c r="K205" s="872"/>
      <c r="L205" s="872"/>
      <c r="M205" s="872"/>
      <c r="N205" s="872"/>
    </row>
    <row r="206" spans="1:14" x14ac:dyDescent="0.25">
      <c r="A206" s="872"/>
      <c r="B206" s="872"/>
      <c r="C206" s="872"/>
      <c r="D206" s="872"/>
      <c r="E206" s="872"/>
      <c r="F206" s="872"/>
      <c r="G206" s="872"/>
      <c r="H206" s="872"/>
      <c r="I206" s="872"/>
      <c r="J206" s="872"/>
      <c r="K206" s="872"/>
      <c r="L206" s="872"/>
      <c r="M206" s="872"/>
      <c r="N206" s="872"/>
    </row>
    <row r="207" spans="1:14" x14ac:dyDescent="0.25">
      <c r="A207" s="872"/>
      <c r="B207" s="872"/>
      <c r="C207" s="872"/>
      <c r="D207" s="872"/>
      <c r="E207" s="872"/>
      <c r="F207" s="872"/>
      <c r="G207" s="872"/>
      <c r="H207" s="872"/>
      <c r="I207" s="872"/>
      <c r="J207" s="872"/>
      <c r="K207" s="872"/>
      <c r="L207" s="872"/>
      <c r="M207" s="872"/>
      <c r="N207" s="872"/>
    </row>
    <row r="208" spans="1:14" x14ac:dyDescent="0.25">
      <c r="A208" s="872"/>
      <c r="B208" s="872"/>
      <c r="C208" s="872"/>
      <c r="D208" s="872"/>
      <c r="E208" s="872"/>
      <c r="F208" s="872"/>
      <c r="G208" s="872"/>
      <c r="H208" s="872"/>
      <c r="I208" s="872"/>
      <c r="J208" s="873"/>
      <c r="K208" s="873"/>
      <c r="L208" s="873"/>
      <c r="M208" s="873"/>
      <c r="N208" s="873"/>
    </row>
    <row r="209" spans="1:9" x14ac:dyDescent="0.25">
      <c r="A209" s="872"/>
      <c r="B209" s="872"/>
      <c r="C209" s="872"/>
      <c r="D209" s="872"/>
      <c r="E209" s="872"/>
      <c r="F209" s="872"/>
      <c r="G209" s="872"/>
      <c r="H209" s="872"/>
      <c r="I209" s="872"/>
    </row>
    <row r="210" spans="1:9" x14ac:dyDescent="0.25">
      <c r="A210" s="872"/>
      <c r="B210" s="872"/>
      <c r="C210" s="872"/>
      <c r="D210" s="872"/>
      <c r="E210" s="872"/>
      <c r="F210" s="872"/>
      <c r="G210" s="872"/>
      <c r="H210" s="872"/>
      <c r="I210" s="872"/>
    </row>
    <row r="211" spans="1:9" x14ac:dyDescent="0.25">
      <c r="A211" s="872"/>
      <c r="B211" s="872"/>
      <c r="C211" s="872"/>
      <c r="D211" s="872"/>
      <c r="E211" s="872"/>
      <c r="F211" s="872"/>
      <c r="G211" s="872"/>
      <c r="H211" s="872"/>
      <c r="I211" s="872"/>
    </row>
    <row r="212" spans="1:9" x14ac:dyDescent="0.25">
      <c r="A212" s="872"/>
      <c r="B212" s="872"/>
      <c r="C212" s="872"/>
      <c r="D212" s="872"/>
      <c r="E212" s="872"/>
      <c r="F212" s="872"/>
      <c r="G212" s="872"/>
      <c r="H212" s="872"/>
      <c r="I212" s="872"/>
    </row>
    <row r="213" spans="1:9" x14ac:dyDescent="0.25">
      <c r="A213" s="872"/>
      <c r="B213" s="872"/>
      <c r="C213" s="872"/>
      <c r="D213" s="872"/>
      <c r="E213" s="872"/>
      <c r="F213" s="872"/>
      <c r="G213" s="872"/>
      <c r="H213" s="872"/>
      <c r="I213" s="872"/>
    </row>
    <row r="214" spans="1:9" x14ac:dyDescent="0.25">
      <c r="A214" s="872"/>
      <c r="B214" s="872"/>
      <c r="C214" s="872"/>
      <c r="D214" s="872"/>
      <c r="E214" s="872"/>
      <c r="F214" s="872"/>
      <c r="G214" s="872"/>
      <c r="H214" s="872"/>
      <c r="I214" s="872"/>
    </row>
    <row r="215" spans="1:9" x14ac:dyDescent="0.25">
      <c r="A215" s="872"/>
      <c r="B215" s="872"/>
      <c r="C215" s="872"/>
      <c r="D215" s="872"/>
      <c r="E215" s="872"/>
      <c r="F215" s="872"/>
      <c r="G215" s="872"/>
      <c r="H215" s="872"/>
      <c r="I215" s="872"/>
    </row>
    <row r="216" spans="1:9" x14ac:dyDescent="0.25">
      <c r="A216" s="872"/>
      <c r="B216" s="872"/>
      <c r="C216" s="872"/>
      <c r="D216" s="872"/>
      <c r="E216" s="872"/>
      <c r="F216" s="872"/>
      <c r="G216" s="872"/>
      <c r="H216" s="872"/>
      <c r="I216" s="872"/>
    </row>
    <row r="217" spans="1:9" x14ac:dyDescent="0.25">
      <c r="A217" s="872"/>
      <c r="B217" s="872"/>
      <c r="C217" s="872"/>
      <c r="D217" s="872"/>
      <c r="E217" s="872"/>
      <c r="F217" s="872"/>
      <c r="G217" s="872"/>
      <c r="H217" s="872"/>
      <c r="I217" s="872"/>
    </row>
    <row r="218" spans="1:9" x14ac:dyDescent="0.25">
      <c r="A218" s="872"/>
      <c r="B218" s="872"/>
      <c r="C218" s="872"/>
      <c r="D218" s="872"/>
      <c r="E218" s="872"/>
      <c r="F218" s="872"/>
      <c r="G218" s="872"/>
      <c r="H218" s="872"/>
      <c r="I218" s="872"/>
    </row>
    <row r="219" spans="1:9" x14ac:dyDescent="0.25">
      <c r="A219" s="872"/>
      <c r="B219" s="872"/>
      <c r="C219" s="872"/>
      <c r="D219" s="872"/>
      <c r="E219" s="872"/>
      <c r="F219" s="872"/>
      <c r="G219" s="872"/>
      <c r="H219" s="872"/>
      <c r="I219" s="872"/>
    </row>
    <row r="220" spans="1:9" x14ac:dyDescent="0.25">
      <c r="A220" s="872"/>
      <c r="B220" s="872"/>
      <c r="C220" s="872"/>
      <c r="D220" s="872"/>
      <c r="E220" s="872"/>
      <c r="F220" s="872"/>
      <c r="G220" s="872"/>
      <c r="H220" s="872"/>
      <c r="I220" s="872"/>
    </row>
    <row r="221" spans="1:9" x14ac:dyDescent="0.25">
      <c r="A221" s="872"/>
      <c r="B221" s="872"/>
      <c r="C221" s="872"/>
      <c r="D221" s="872"/>
      <c r="E221" s="872"/>
      <c r="F221" s="872"/>
      <c r="G221" s="872"/>
      <c r="H221" s="872"/>
      <c r="I221" s="872"/>
    </row>
    <row r="222" spans="1:9" x14ac:dyDescent="0.25">
      <c r="A222" s="872"/>
      <c r="B222" s="872"/>
      <c r="C222" s="872"/>
      <c r="D222" s="872"/>
      <c r="E222" s="872"/>
      <c r="F222" s="872"/>
      <c r="G222" s="872"/>
      <c r="H222" s="872"/>
      <c r="I222" s="872"/>
    </row>
    <row r="223" spans="1:9" x14ac:dyDescent="0.25">
      <c r="A223" s="872"/>
      <c r="B223" s="872"/>
      <c r="C223" s="872"/>
      <c r="D223" s="872"/>
      <c r="E223" s="872"/>
      <c r="F223" s="872"/>
      <c r="G223" s="872"/>
      <c r="H223" s="872"/>
      <c r="I223" s="872"/>
    </row>
    <row r="224" spans="1:9" x14ac:dyDescent="0.25">
      <c r="A224" s="872"/>
      <c r="B224" s="872"/>
      <c r="C224" s="872"/>
      <c r="D224" s="872"/>
      <c r="E224" s="872"/>
      <c r="F224" s="872"/>
      <c r="G224" s="872"/>
      <c r="H224" s="872"/>
      <c r="I224" s="872"/>
    </row>
    <row r="225" spans="1:9" x14ac:dyDescent="0.25">
      <c r="A225" s="872"/>
      <c r="B225" s="872"/>
      <c r="C225" s="872"/>
      <c r="D225" s="872"/>
      <c r="E225" s="872"/>
      <c r="F225" s="872"/>
      <c r="G225" s="872"/>
      <c r="H225" s="872"/>
      <c r="I225" s="872"/>
    </row>
    <row r="226" spans="1:9" x14ac:dyDescent="0.25">
      <c r="A226" s="872"/>
      <c r="B226" s="872"/>
      <c r="C226" s="872"/>
      <c r="D226" s="872"/>
      <c r="E226" s="872"/>
      <c r="F226" s="872"/>
      <c r="G226" s="872"/>
      <c r="H226" s="872"/>
      <c r="I226" s="872"/>
    </row>
    <row r="227" spans="1:9" x14ac:dyDescent="0.25">
      <c r="A227" s="872"/>
      <c r="B227" s="872"/>
      <c r="C227" s="872"/>
      <c r="D227" s="872"/>
      <c r="E227" s="872"/>
      <c r="F227" s="872"/>
      <c r="G227" s="872"/>
      <c r="H227" s="872"/>
      <c r="I227" s="872"/>
    </row>
    <row r="228" spans="1:9" x14ac:dyDescent="0.25">
      <c r="A228" s="872"/>
      <c r="B228" s="872"/>
      <c r="C228" s="872"/>
      <c r="D228" s="872"/>
      <c r="E228" s="872"/>
      <c r="F228" s="872"/>
      <c r="G228" s="872"/>
      <c r="H228" s="872"/>
      <c r="I228" s="872"/>
    </row>
    <row r="229" spans="1:9" x14ac:dyDescent="0.25">
      <c r="A229" s="872"/>
      <c r="B229" s="872"/>
      <c r="C229" s="872"/>
      <c r="D229" s="872"/>
      <c r="E229" s="872"/>
      <c r="F229" s="872"/>
      <c r="G229" s="872"/>
      <c r="H229" s="872"/>
      <c r="I229" s="872"/>
    </row>
    <row r="230" spans="1:9" x14ac:dyDescent="0.25">
      <c r="A230" s="872"/>
      <c r="B230" s="872"/>
      <c r="C230" s="872"/>
      <c r="D230" s="872"/>
      <c r="E230" s="872"/>
      <c r="F230" s="872"/>
      <c r="G230" s="872"/>
      <c r="H230" s="872"/>
      <c r="I230" s="872"/>
    </row>
    <row r="231" spans="1:9" x14ac:dyDescent="0.25">
      <c r="A231" s="872"/>
      <c r="B231" s="872"/>
      <c r="C231" s="872"/>
      <c r="D231" s="872"/>
      <c r="E231" s="872"/>
      <c r="F231" s="872"/>
      <c r="G231" s="872"/>
      <c r="H231" s="872"/>
      <c r="I231" s="872"/>
    </row>
    <row r="232" spans="1:9" x14ac:dyDescent="0.25">
      <c r="A232" s="872"/>
      <c r="B232" s="872"/>
      <c r="C232" s="872"/>
      <c r="D232" s="872"/>
      <c r="E232" s="872"/>
      <c r="F232" s="872"/>
      <c r="G232" s="872"/>
      <c r="H232" s="872"/>
      <c r="I232" s="872"/>
    </row>
    <row r="233" spans="1:9" x14ac:dyDescent="0.25">
      <c r="A233" s="872"/>
      <c r="B233" s="872"/>
      <c r="C233" s="872"/>
      <c r="D233" s="872"/>
      <c r="E233" s="872"/>
      <c r="F233" s="872"/>
      <c r="G233" s="872"/>
      <c r="H233" s="872"/>
      <c r="I233" s="872"/>
    </row>
    <row r="234" spans="1:9" x14ac:dyDescent="0.25">
      <c r="A234" s="872"/>
      <c r="B234" s="872"/>
      <c r="C234" s="872"/>
      <c r="D234" s="872"/>
      <c r="E234" s="872"/>
      <c r="F234" s="872"/>
      <c r="G234" s="872"/>
      <c r="H234" s="872"/>
      <c r="I234" s="872"/>
    </row>
    <row r="235" spans="1:9" x14ac:dyDescent="0.25">
      <c r="A235" s="872"/>
      <c r="B235" s="872"/>
      <c r="C235" s="872"/>
      <c r="D235" s="872"/>
      <c r="E235" s="872"/>
      <c r="F235" s="872"/>
      <c r="G235" s="872"/>
      <c r="H235" s="872"/>
      <c r="I235" s="872"/>
    </row>
    <row r="236" spans="1:9" x14ac:dyDescent="0.25">
      <c r="A236" s="872"/>
      <c r="B236" s="872"/>
      <c r="C236" s="872"/>
      <c r="D236" s="872"/>
      <c r="E236" s="872"/>
      <c r="F236" s="872"/>
      <c r="G236" s="872"/>
      <c r="H236" s="872"/>
      <c r="I236" s="872"/>
    </row>
    <row r="237" spans="1:9" x14ac:dyDescent="0.25">
      <c r="A237" s="872"/>
      <c r="B237" s="872"/>
      <c r="C237" s="872"/>
      <c r="D237" s="872"/>
      <c r="E237" s="872"/>
      <c r="F237" s="872"/>
      <c r="G237" s="872"/>
      <c r="H237" s="872"/>
      <c r="I237" s="872"/>
    </row>
    <row r="238" spans="1:9" x14ac:dyDescent="0.25">
      <c r="A238" s="872"/>
      <c r="B238" s="872"/>
      <c r="C238" s="872"/>
      <c r="D238" s="872"/>
      <c r="E238" s="872"/>
      <c r="F238" s="872"/>
      <c r="G238" s="872"/>
      <c r="H238" s="872"/>
      <c r="I238" s="872"/>
    </row>
    <row r="239" spans="1:9" x14ac:dyDescent="0.25">
      <c r="A239" s="872"/>
      <c r="B239" s="872"/>
      <c r="C239" s="872"/>
      <c r="D239" s="872"/>
      <c r="E239" s="872"/>
      <c r="F239" s="872"/>
      <c r="G239" s="872"/>
      <c r="H239" s="872"/>
      <c r="I239" s="872"/>
    </row>
    <row r="240" spans="1:9" x14ac:dyDescent="0.25">
      <c r="A240" s="872"/>
      <c r="B240" s="872"/>
      <c r="C240" s="872"/>
      <c r="D240" s="872"/>
      <c r="E240" s="872"/>
      <c r="F240" s="872"/>
      <c r="G240" s="872"/>
      <c r="H240" s="872"/>
      <c r="I240" s="872"/>
    </row>
    <row r="241" spans="1:9" x14ac:dyDescent="0.25">
      <c r="A241" s="872"/>
      <c r="B241" s="872"/>
      <c r="C241" s="872"/>
      <c r="D241" s="872"/>
      <c r="E241" s="872"/>
      <c r="F241" s="872"/>
      <c r="G241" s="872"/>
      <c r="H241" s="872"/>
      <c r="I241" s="872"/>
    </row>
    <row r="242" spans="1:9" x14ac:dyDescent="0.25">
      <c r="A242" s="872"/>
      <c r="B242" s="872"/>
      <c r="C242" s="872"/>
      <c r="D242" s="872"/>
      <c r="E242" s="872"/>
      <c r="F242" s="872"/>
      <c r="G242" s="872"/>
      <c r="H242" s="872"/>
      <c r="I242" s="872"/>
    </row>
    <row r="243" spans="1:9" x14ac:dyDescent="0.25">
      <c r="A243" s="872"/>
      <c r="B243" s="872"/>
      <c r="C243" s="872"/>
      <c r="D243" s="872"/>
      <c r="E243" s="872"/>
      <c r="F243" s="872"/>
      <c r="G243" s="872"/>
      <c r="H243" s="872"/>
      <c r="I243" s="872"/>
    </row>
    <row r="244" spans="1:9" x14ac:dyDescent="0.25">
      <c r="A244" s="872"/>
      <c r="B244" s="872"/>
      <c r="C244" s="872"/>
      <c r="D244" s="872"/>
      <c r="E244" s="872"/>
      <c r="F244" s="872"/>
      <c r="G244" s="872"/>
      <c r="H244" s="872"/>
      <c r="I244" s="872"/>
    </row>
    <row r="245" spans="1:9" x14ac:dyDescent="0.25">
      <c r="A245" s="872"/>
      <c r="B245" s="872"/>
      <c r="C245" s="872"/>
      <c r="D245" s="872"/>
      <c r="E245" s="872"/>
      <c r="F245" s="872"/>
      <c r="G245" s="872"/>
      <c r="H245" s="872"/>
      <c r="I245" s="872"/>
    </row>
    <row r="246" spans="1:9" x14ac:dyDescent="0.25">
      <c r="A246" s="872"/>
      <c r="B246" s="872"/>
      <c r="C246" s="872"/>
      <c r="D246" s="872"/>
      <c r="E246" s="872"/>
      <c r="F246" s="872"/>
      <c r="G246" s="872"/>
      <c r="H246" s="872"/>
      <c r="I246" s="872"/>
    </row>
    <row r="247" spans="1:9" x14ac:dyDescent="0.25">
      <c r="A247" s="872"/>
      <c r="B247" s="872"/>
      <c r="C247" s="872"/>
      <c r="D247" s="872"/>
      <c r="E247" s="872"/>
      <c r="F247" s="872"/>
      <c r="G247" s="872"/>
      <c r="H247" s="872"/>
      <c r="I247" s="872"/>
    </row>
    <row r="248" spans="1:9" x14ac:dyDescent="0.25">
      <c r="A248" s="872"/>
      <c r="B248" s="872"/>
      <c r="C248" s="872"/>
      <c r="D248" s="872"/>
      <c r="E248" s="872"/>
      <c r="F248" s="872"/>
      <c r="G248" s="872"/>
      <c r="H248" s="872"/>
      <c r="I248" s="872"/>
    </row>
    <row r="249" spans="1:9" x14ac:dyDescent="0.25">
      <c r="A249" s="872"/>
      <c r="B249" s="872"/>
      <c r="C249" s="872"/>
      <c r="D249" s="872"/>
      <c r="E249" s="872"/>
      <c r="F249" s="872"/>
      <c r="G249" s="872"/>
      <c r="H249" s="872"/>
      <c r="I249" s="872"/>
    </row>
    <row r="250" spans="1:9" x14ac:dyDescent="0.25">
      <c r="A250" s="872"/>
      <c r="B250" s="872"/>
      <c r="C250" s="872"/>
      <c r="D250" s="872"/>
      <c r="E250" s="872"/>
      <c r="F250" s="872"/>
      <c r="G250" s="872"/>
      <c r="H250" s="872"/>
      <c r="I250" s="872"/>
    </row>
    <row r="251" spans="1:9" x14ac:dyDescent="0.25">
      <c r="A251" s="872"/>
      <c r="B251" s="872"/>
      <c r="C251" s="872"/>
      <c r="D251" s="872"/>
      <c r="E251" s="872"/>
      <c r="F251" s="872"/>
      <c r="G251" s="872"/>
      <c r="H251" s="872"/>
      <c r="I251" s="872"/>
    </row>
    <row r="252" spans="1:9" x14ac:dyDescent="0.25">
      <c r="A252" s="872"/>
      <c r="B252" s="872"/>
      <c r="C252" s="872"/>
      <c r="D252" s="872"/>
      <c r="E252" s="872"/>
      <c r="F252" s="872"/>
      <c r="G252" s="872"/>
      <c r="H252" s="872"/>
      <c r="I252" s="872"/>
    </row>
    <row r="253" spans="1:9" x14ac:dyDescent="0.25">
      <c r="A253" s="872"/>
      <c r="B253" s="872"/>
      <c r="C253" s="872"/>
      <c r="D253" s="872"/>
      <c r="E253" s="872"/>
      <c r="F253" s="872"/>
      <c r="G253" s="872"/>
      <c r="H253" s="872"/>
      <c r="I253" s="872"/>
    </row>
    <row r="254" spans="1:9" x14ac:dyDescent="0.25">
      <c r="A254" s="872"/>
      <c r="B254" s="872"/>
      <c r="C254" s="872"/>
      <c r="D254" s="872"/>
      <c r="E254" s="872"/>
      <c r="F254" s="872"/>
      <c r="G254" s="872"/>
      <c r="H254" s="872"/>
      <c r="I254" s="872"/>
    </row>
    <row r="255" spans="1:9" x14ac:dyDescent="0.25">
      <c r="A255" s="872"/>
      <c r="B255" s="872"/>
      <c r="C255" s="872"/>
      <c r="D255" s="872"/>
      <c r="E255" s="872"/>
      <c r="F255" s="872"/>
      <c r="G255" s="872"/>
      <c r="H255" s="872"/>
      <c r="I255" s="872"/>
    </row>
    <row r="256" spans="1:9" x14ac:dyDescent="0.25">
      <c r="A256" s="872"/>
      <c r="B256" s="872"/>
      <c r="C256" s="872"/>
      <c r="D256" s="872"/>
      <c r="E256" s="872"/>
      <c r="F256" s="872"/>
      <c r="G256" s="872"/>
      <c r="H256" s="872"/>
      <c r="I256" s="872"/>
    </row>
    <row r="257" spans="1:9" x14ac:dyDescent="0.25">
      <c r="A257" s="872"/>
      <c r="B257" s="872"/>
      <c r="C257" s="872"/>
      <c r="D257" s="872"/>
      <c r="E257" s="872"/>
      <c r="F257" s="872"/>
      <c r="G257" s="872"/>
      <c r="H257" s="872"/>
      <c r="I257" s="872"/>
    </row>
    <row r="258" spans="1:9" x14ac:dyDescent="0.25">
      <c r="A258" s="872"/>
      <c r="B258" s="872"/>
      <c r="C258" s="872"/>
      <c r="D258" s="872"/>
      <c r="E258" s="872"/>
      <c r="F258" s="872"/>
      <c r="G258" s="872"/>
      <c r="H258" s="872"/>
      <c r="I258" s="872"/>
    </row>
    <row r="259" spans="1:9" x14ac:dyDescent="0.25">
      <c r="A259" s="872"/>
      <c r="B259" s="872"/>
      <c r="C259" s="872"/>
      <c r="D259" s="872"/>
      <c r="E259" s="872"/>
      <c r="F259" s="872"/>
      <c r="G259" s="872"/>
      <c r="H259" s="872"/>
      <c r="I259" s="872"/>
    </row>
    <row r="260" spans="1:9" x14ac:dyDescent="0.25">
      <c r="A260" s="872"/>
      <c r="B260" s="872"/>
      <c r="C260" s="872"/>
      <c r="D260" s="872"/>
      <c r="E260" s="872"/>
      <c r="F260" s="872"/>
      <c r="G260" s="872"/>
      <c r="H260" s="872"/>
      <c r="I260" s="872"/>
    </row>
    <row r="261" spans="1:9" x14ac:dyDescent="0.25">
      <c r="A261" s="872"/>
      <c r="B261" s="872"/>
      <c r="C261" s="872"/>
      <c r="D261" s="872"/>
      <c r="E261" s="872"/>
      <c r="F261" s="872"/>
      <c r="G261" s="872"/>
      <c r="H261" s="872"/>
      <c r="I261" s="872"/>
    </row>
    <row r="262" spans="1:9" x14ac:dyDescent="0.25">
      <c r="A262" s="872"/>
      <c r="B262" s="872"/>
      <c r="C262" s="872"/>
      <c r="D262" s="872"/>
      <c r="E262" s="872"/>
      <c r="F262" s="872"/>
      <c r="G262" s="872"/>
      <c r="H262" s="872"/>
      <c r="I262" s="872"/>
    </row>
    <row r="263" spans="1:9" x14ac:dyDescent="0.25">
      <c r="A263" s="872"/>
      <c r="B263" s="872"/>
      <c r="C263" s="872"/>
      <c r="D263" s="872"/>
      <c r="E263" s="872"/>
      <c r="F263" s="872"/>
      <c r="G263" s="872"/>
      <c r="H263" s="872"/>
      <c r="I263" s="872"/>
    </row>
    <row r="264" spans="1:9" x14ac:dyDescent="0.25">
      <c r="A264" s="872"/>
      <c r="B264" s="872"/>
      <c r="C264" s="872"/>
      <c r="D264" s="872"/>
      <c r="E264" s="872"/>
      <c r="F264" s="872"/>
      <c r="G264" s="872"/>
      <c r="H264" s="872"/>
      <c r="I264" s="872"/>
    </row>
    <row r="265" spans="1:9" x14ac:dyDescent="0.25">
      <c r="A265" s="872"/>
      <c r="B265" s="872"/>
      <c r="C265" s="872"/>
      <c r="D265" s="872"/>
      <c r="E265" s="872"/>
      <c r="F265" s="872"/>
      <c r="G265" s="872"/>
      <c r="H265" s="872"/>
      <c r="I265" s="872"/>
    </row>
    <row r="266" spans="1:9" x14ac:dyDescent="0.25">
      <c r="A266" s="872"/>
      <c r="B266" s="872"/>
      <c r="C266" s="872"/>
      <c r="D266" s="872"/>
      <c r="E266" s="872"/>
      <c r="F266" s="872"/>
      <c r="G266" s="872"/>
      <c r="H266" s="872"/>
      <c r="I266" s="872"/>
    </row>
    <row r="267" spans="1:9" x14ac:dyDescent="0.25">
      <c r="A267" s="872"/>
      <c r="B267" s="872"/>
      <c r="C267" s="872"/>
      <c r="D267" s="872"/>
      <c r="E267" s="872"/>
      <c r="F267" s="872"/>
      <c r="G267" s="872"/>
      <c r="H267" s="872"/>
      <c r="I267" s="872"/>
    </row>
    <row r="268" spans="1:9" x14ac:dyDescent="0.25">
      <c r="A268" s="872"/>
      <c r="B268" s="872"/>
      <c r="C268" s="872"/>
      <c r="D268" s="872"/>
      <c r="E268" s="872"/>
      <c r="F268" s="872"/>
      <c r="G268" s="872"/>
      <c r="H268" s="872"/>
      <c r="I268" s="872"/>
    </row>
    <row r="269" spans="1:9" x14ac:dyDescent="0.25">
      <c r="A269" s="872"/>
      <c r="B269" s="872"/>
      <c r="C269" s="872"/>
      <c r="D269" s="872"/>
      <c r="E269" s="872"/>
      <c r="F269" s="872"/>
      <c r="G269" s="872"/>
      <c r="H269" s="872"/>
      <c r="I269" s="872"/>
    </row>
    <row r="270" spans="1:9" x14ac:dyDescent="0.25">
      <c r="A270" s="872"/>
      <c r="B270" s="872"/>
      <c r="C270" s="872"/>
      <c r="D270" s="872"/>
      <c r="E270" s="872"/>
      <c r="F270" s="872"/>
      <c r="G270" s="872"/>
      <c r="H270" s="872"/>
      <c r="I270" s="872"/>
    </row>
    <row r="271" spans="1:9" x14ac:dyDescent="0.25">
      <c r="A271" s="872"/>
      <c r="B271" s="872"/>
      <c r="C271" s="872"/>
      <c r="D271" s="872"/>
      <c r="E271" s="872"/>
      <c r="F271" s="872"/>
      <c r="G271" s="872"/>
      <c r="H271" s="872"/>
      <c r="I271" s="872"/>
    </row>
    <row r="272" spans="1:9" x14ac:dyDescent="0.25">
      <c r="A272" s="872"/>
      <c r="B272" s="872"/>
      <c r="C272" s="872"/>
      <c r="D272" s="872"/>
      <c r="E272" s="872"/>
      <c r="F272" s="872"/>
      <c r="G272" s="872"/>
      <c r="H272" s="872"/>
      <c r="I272" s="872"/>
    </row>
    <row r="273" spans="1:9" x14ac:dyDescent="0.25">
      <c r="A273" s="872"/>
      <c r="B273" s="872"/>
      <c r="C273" s="872"/>
      <c r="D273" s="872"/>
      <c r="E273" s="872"/>
      <c r="F273" s="872"/>
      <c r="G273" s="872"/>
      <c r="H273" s="872"/>
      <c r="I273" s="872"/>
    </row>
    <row r="274" spans="1:9" x14ac:dyDescent="0.25">
      <c r="A274" s="872"/>
      <c r="B274" s="872"/>
      <c r="C274" s="872"/>
      <c r="D274" s="872"/>
      <c r="E274" s="872"/>
      <c r="F274" s="872"/>
      <c r="G274" s="872"/>
      <c r="H274" s="872"/>
      <c r="I274" s="872"/>
    </row>
    <row r="275" spans="1:9" x14ac:dyDescent="0.25">
      <c r="A275" s="872"/>
      <c r="B275" s="872"/>
      <c r="C275" s="872"/>
      <c r="D275" s="872"/>
      <c r="E275" s="872"/>
      <c r="F275" s="872"/>
      <c r="G275" s="872"/>
      <c r="H275" s="872"/>
      <c r="I275" s="872"/>
    </row>
    <row r="276" spans="1:9" x14ac:dyDescent="0.25">
      <c r="A276" s="872"/>
      <c r="B276" s="872"/>
      <c r="C276" s="872"/>
      <c r="D276" s="872"/>
      <c r="E276" s="872"/>
      <c r="F276" s="872"/>
      <c r="G276" s="872"/>
      <c r="H276" s="872"/>
      <c r="I276" s="872"/>
    </row>
    <row r="277" spans="1:9" x14ac:dyDescent="0.25">
      <c r="A277" s="872"/>
      <c r="B277" s="872"/>
      <c r="C277" s="872"/>
      <c r="D277" s="872"/>
      <c r="E277" s="872"/>
      <c r="F277" s="872"/>
      <c r="G277" s="872"/>
      <c r="H277" s="872"/>
      <c r="I277" s="872"/>
    </row>
    <row r="278" spans="1:9" x14ac:dyDescent="0.25">
      <c r="A278" s="872"/>
      <c r="B278" s="872"/>
      <c r="C278" s="872"/>
      <c r="D278" s="872"/>
      <c r="E278" s="872"/>
      <c r="F278" s="872"/>
      <c r="G278" s="872"/>
      <c r="H278" s="872"/>
      <c r="I278" s="872"/>
    </row>
    <row r="279" spans="1:9" x14ac:dyDescent="0.25">
      <c r="A279" s="872"/>
      <c r="B279" s="872"/>
      <c r="C279" s="872"/>
      <c r="D279" s="872"/>
      <c r="E279" s="872"/>
      <c r="F279" s="872"/>
      <c r="G279" s="872"/>
      <c r="H279" s="872"/>
      <c r="I279" s="872"/>
    </row>
  </sheetData>
  <hyperlinks>
    <hyperlink ref="B4" location="SU_A0900" display="SU_A0900" xr:uid="{00000000-0004-0000-6700-000000000000}"/>
    <hyperlink ref="F2" location="SU_A0900_BOM" display="Back to BOM" xr:uid="{00000000-0004-0000-6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6" fitToHeight="99" orientation="landscape" r:id="rId1"/>
  <headerFooter>
    <oddFooter>Page &amp;P</oddFooter>
  </headerFooter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sheetPr>
    <tabColor rgb="FFFFFF66"/>
    <pageSetUpPr fitToPage="1"/>
  </sheetPr>
  <dimension ref="A1:O21"/>
  <sheetViews>
    <sheetView zoomScale="70" zoomScaleNormal="70" zoomScalePageLayoutView="70" workbookViewId="0">
      <selection activeCell="F2" sqref="F2"/>
    </sheetView>
  </sheetViews>
  <sheetFormatPr baseColWidth="10" defaultRowHeight="15" x14ac:dyDescent="0.25"/>
  <cols>
    <col min="2" max="2" width="38.42578125" customWidth="1"/>
    <col min="3" max="3" width="30.7109375" customWidth="1"/>
    <col min="7" max="7" width="35" customWidth="1"/>
    <col min="9" max="9" width="24.42578125" customWidth="1"/>
    <col min="10" max="10" width="10.7109375" customWidth="1"/>
  </cols>
  <sheetData>
    <row r="1" spans="1:15" x14ac:dyDescent="0.25">
      <c r="A1" s="921"/>
      <c r="B1" s="919"/>
      <c r="C1" s="919"/>
      <c r="D1" s="919"/>
      <c r="E1" s="919"/>
      <c r="F1" s="919"/>
      <c r="G1" s="919"/>
      <c r="H1" s="919"/>
      <c r="I1" s="919"/>
      <c r="J1" s="920"/>
      <c r="K1" s="919"/>
      <c r="L1" s="919"/>
      <c r="M1" s="919"/>
      <c r="N1" s="919"/>
      <c r="O1" s="918"/>
    </row>
    <row r="2" spans="1:15" x14ac:dyDescent="0.25">
      <c r="A2" s="917" t="s">
        <v>0</v>
      </c>
      <c r="B2" s="16" t="s">
        <v>37</v>
      </c>
      <c r="C2" s="911"/>
      <c r="D2" s="911"/>
      <c r="E2" s="911"/>
      <c r="F2" s="87" t="s">
        <v>62</v>
      </c>
      <c r="G2" s="911"/>
      <c r="H2" s="911"/>
      <c r="I2" s="911"/>
      <c r="J2" s="892" t="s">
        <v>1</v>
      </c>
      <c r="K2" s="916">
        <v>81</v>
      </c>
      <c r="L2" s="911"/>
      <c r="M2" s="891" t="s">
        <v>16</v>
      </c>
      <c r="N2" s="914">
        <f>N12+I19</f>
        <v>1.5833945082514056</v>
      </c>
      <c r="O2" s="259"/>
    </row>
    <row r="3" spans="1:15" x14ac:dyDescent="0.25">
      <c r="A3" s="913" t="s">
        <v>3</v>
      </c>
      <c r="B3" s="16" t="s">
        <v>63</v>
      </c>
      <c r="C3" s="911"/>
      <c r="D3" s="891" t="s">
        <v>6</v>
      </c>
      <c r="E3" s="87" t="s">
        <v>60</v>
      </c>
      <c r="F3" s="911"/>
      <c r="G3" s="911"/>
      <c r="H3" s="911"/>
      <c r="I3" s="911"/>
      <c r="J3" s="911"/>
      <c r="K3" s="911"/>
      <c r="L3" s="911"/>
      <c r="M3" s="890" t="s">
        <v>4</v>
      </c>
      <c r="N3" s="915">
        <v>2</v>
      </c>
      <c r="O3" s="259"/>
    </row>
    <row r="4" spans="1:15" x14ac:dyDescent="0.25">
      <c r="A4" s="913" t="s">
        <v>5</v>
      </c>
      <c r="B4" s="87" t="str">
        <f>'SU A0900'!B4</f>
        <v xml:space="preserve">Rear Tie rod  </v>
      </c>
      <c r="C4" s="911"/>
      <c r="D4" s="890" t="s">
        <v>8</v>
      </c>
      <c r="E4" s="911"/>
      <c r="F4" s="911"/>
      <c r="G4" s="911"/>
      <c r="H4" s="911"/>
      <c r="I4" s="911"/>
      <c r="J4" s="891" t="s">
        <v>6</v>
      </c>
      <c r="K4" s="911"/>
      <c r="L4" s="911"/>
      <c r="M4" s="911"/>
      <c r="N4" s="911"/>
      <c r="O4" s="259"/>
    </row>
    <row r="5" spans="1:15" x14ac:dyDescent="0.25">
      <c r="A5" s="913" t="s">
        <v>15</v>
      </c>
      <c r="B5" s="730" t="s">
        <v>419</v>
      </c>
      <c r="C5" s="911"/>
      <c r="D5" s="890" t="s">
        <v>12</v>
      </c>
      <c r="E5" s="911"/>
      <c r="F5" s="911"/>
      <c r="G5" s="911"/>
      <c r="H5" s="911"/>
      <c r="I5" s="911"/>
      <c r="J5" s="890" t="s">
        <v>8</v>
      </c>
      <c r="K5" s="911"/>
      <c r="L5" s="911"/>
      <c r="M5" s="891" t="s">
        <v>9</v>
      </c>
      <c r="N5" s="914">
        <f>N3*N2</f>
        <v>3.1667890165028112</v>
      </c>
      <c r="O5" s="259"/>
    </row>
    <row r="6" spans="1:15" x14ac:dyDescent="0.25">
      <c r="A6" s="913" t="s">
        <v>7</v>
      </c>
      <c r="B6" t="s">
        <v>422</v>
      </c>
      <c r="C6" s="911"/>
      <c r="D6" s="911"/>
      <c r="E6" s="911"/>
      <c r="F6" s="911"/>
      <c r="G6" s="911"/>
      <c r="H6" s="911"/>
      <c r="I6" s="911"/>
      <c r="J6" s="890" t="s">
        <v>12</v>
      </c>
      <c r="K6" s="911"/>
      <c r="L6" s="911"/>
      <c r="M6" s="911"/>
      <c r="N6" s="911"/>
      <c r="O6" s="259"/>
    </row>
    <row r="7" spans="1:15" x14ac:dyDescent="0.25">
      <c r="A7" s="913" t="s">
        <v>10</v>
      </c>
      <c r="B7" s="16" t="s">
        <v>11</v>
      </c>
      <c r="C7" s="911"/>
      <c r="D7" s="911"/>
      <c r="E7" s="911"/>
      <c r="F7" s="911"/>
      <c r="G7" s="911"/>
      <c r="H7" s="911"/>
      <c r="I7" s="911"/>
      <c r="J7" s="911"/>
      <c r="K7" s="911"/>
      <c r="L7" s="911"/>
      <c r="M7" s="911"/>
      <c r="N7" s="911"/>
      <c r="O7" s="259"/>
    </row>
    <row r="8" spans="1:15" x14ac:dyDescent="0.25">
      <c r="A8" s="913" t="s">
        <v>13</v>
      </c>
      <c r="B8" s="16"/>
      <c r="C8" s="911"/>
      <c r="D8" s="911"/>
      <c r="E8" s="911"/>
      <c r="F8" s="911"/>
      <c r="G8" s="911"/>
      <c r="H8" s="911"/>
      <c r="I8" s="911"/>
      <c r="J8" s="911"/>
      <c r="K8" s="911"/>
      <c r="L8" s="911"/>
      <c r="M8" s="911"/>
      <c r="N8" s="911"/>
      <c r="O8" s="259"/>
    </row>
    <row r="9" spans="1:15" x14ac:dyDescent="0.25">
      <c r="A9" s="912"/>
      <c r="B9" s="911"/>
      <c r="C9" s="911"/>
      <c r="D9" s="911"/>
      <c r="E9" s="911"/>
      <c r="F9" s="911"/>
      <c r="G9" s="911"/>
      <c r="H9" s="911"/>
      <c r="I9" s="911"/>
      <c r="J9" s="911"/>
      <c r="K9" s="911"/>
      <c r="L9" s="911"/>
      <c r="M9" s="911"/>
      <c r="N9" s="911"/>
      <c r="O9" s="259"/>
    </row>
    <row r="10" spans="1:15" x14ac:dyDescent="0.25">
      <c r="A10" s="907" t="s">
        <v>14</v>
      </c>
      <c r="B10" s="880" t="s">
        <v>19</v>
      </c>
      <c r="C10" s="880" t="s">
        <v>20</v>
      </c>
      <c r="D10" s="880" t="s">
        <v>21</v>
      </c>
      <c r="E10" s="880" t="s">
        <v>22</v>
      </c>
      <c r="F10" s="880" t="s">
        <v>23</v>
      </c>
      <c r="G10" s="880" t="s">
        <v>24</v>
      </c>
      <c r="H10" s="880" t="s">
        <v>25</v>
      </c>
      <c r="I10" s="880" t="s">
        <v>26</v>
      </c>
      <c r="J10" s="880" t="s">
        <v>27</v>
      </c>
      <c r="K10" s="880" t="s">
        <v>28</v>
      </c>
      <c r="L10" s="880" t="s">
        <v>29</v>
      </c>
      <c r="M10" s="880" t="s">
        <v>17</v>
      </c>
      <c r="N10" s="880" t="s">
        <v>18</v>
      </c>
      <c r="O10" s="259"/>
    </row>
    <row r="11" spans="1:15" ht="16.149999999999999" customHeight="1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1163">
        <f>J11*K11*L11</f>
        <v>6.9915359107477468E-2</v>
      </c>
      <c r="F11" s="383" t="s">
        <v>141</v>
      </c>
      <c r="G11" s="383"/>
      <c r="H11" s="387"/>
      <c r="I11" s="388" t="s">
        <v>548</v>
      </c>
      <c r="J11" s="959">
        <f>PI()*(9*10^-3)^2</f>
        <v>2.5446900494077327E-4</v>
      </c>
      <c r="K11" s="867">
        <v>3.5000000000000003E-2</v>
      </c>
      <c r="L11" s="868">
        <v>7850</v>
      </c>
      <c r="M11" s="909">
        <v>1</v>
      </c>
      <c r="N11" s="269">
        <f>D11*E11*M11</f>
        <v>0.29364450825140537</v>
      </c>
      <c r="O11" s="908"/>
    </row>
    <row r="12" spans="1:15" x14ac:dyDescent="0.25">
      <c r="A12" s="899"/>
      <c r="B12" s="898"/>
      <c r="C12" s="898"/>
      <c r="D12" s="898"/>
      <c r="E12" s="898"/>
      <c r="F12" s="898"/>
      <c r="G12" s="898"/>
      <c r="H12" s="898"/>
      <c r="I12" s="898"/>
      <c r="J12" s="898"/>
      <c r="K12" s="898"/>
      <c r="L12" s="898"/>
      <c r="M12" s="875" t="s">
        <v>18</v>
      </c>
      <c r="N12" s="881">
        <f>N11</f>
        <v>0.29364450825140537</v>
      </c>
      <c r="O12" s="259"/>
    </row>
    <row r="13" spans="1:15" x14ac:dyDescent="0.25">
      <c r="A13" s="907" t="s">
        <v>14</v>
      </c>
      <c r="B13" s="880" t="s">
        <v>31</v>
      </c>
      <c r="C13" s="880" t="s">
        <v>20</v>
      </c>
      <c r="D13" s="880" t="s">
        <v>21</v>
      </c>
      <c r="E13" s="880" t="s">
        <v>32</v>
      </c>
      <c r="F13" s="880" t="s">
        <v>17</v>
      </c>
      <c r="G13" s="880" t="s">
        <v>33</v>
      </c>
      <c r="H13" s="880" t="s">
        <v>34</v>
      </c>
      <c r="I13" s="880" t="s">
        <v>18</v>
      </c>
      <c r="J13" s="898"/>
      <c r="K13" s="898"/>
      <c r="L13" s="898"/>
      <c r="M13" s="898"/>
      <c r="N13" s="898"/>
      <c r="O13" s="259"/>
    </row>
    <row r="14" spans="1:15" ht="27.6" customHeight="1" x14ac:dyDescent="0.25">
      <c r="A14" s="903">
        <v>10</v>
      </c>
      <c r="B14" s="271" t="s">
        <v>39</v>
      </c>
      <c r="C14" s="904" t="s">
        <v>414</v>
      </c>
      <c r="D14" s="268">
        <v>1.3</v>
      </c>
      <c r="E14" s="271" t="s">
        <v>32</v>
      </c>
      <c r="F14" s="861">
        <v>1</v>
      </c>
      <c r="G14" s="1168" t="s">
        <v>555</v>
      </c>
      <c r="H14" s="1167">
        <f>1/8</f>
        <v>0.125</v>
      </c>
      <c r="I14" s="214">
        <f>D14*F14*H14</f>
        <v>0.16250000000000001</v>
      </c>
      <c r="J14" s="512"/>
      <c r="K14" s="512"/>
      <c r="L14" s="512"/>
      <c r="M14" s="512"/>
      <c r="N14" s="512"/>
      <c r="O14" s="896"/>
    </row>
    <row r="15" spans="1:15" ht="13.15" customHeight="1" x14ac:dyDescent="0.25">
      <c r="A15" s="903">
        <v>20</v>
      </c>
      <c r="B15" s="271" t="s">
        <v>92</v>
      </c>
      <c r="C15" s="904" t="s">
        <v>413</v>
      </c>
      <c r="D15" s="268">
        <v>0.04</v>
      </c>
      <c r="E15" s="271" t="s">
        <v>93</v>
      </c>
      <c r="F15" s="861">
        <v>5.5</v>
      </c>
      <c r="G15" s="861" t="s">
        <v>339</v>
      </c>
      <c r="H15" s="861">
        <v>3</v>
      </c>
      <c r="I15" s="214">
        <f>D15*F15*H15</f>
        <v>0.66</v>
      </c>
      <c r="J15" s="512"/>
      <c r="K15" s="512"/>
      <c r="L15" s="512"/>
      <c r="M15" s="512"/>
      <c r="N15" s="512"/>
      <c r="O15" s="896"/>
    </row>
    <row r="16" spans="1:15" ht="28.9" customHeight="1" x14ac:dyDescent="0.25">
      <c r="A16" s="906">
        <v>30</v>
      </c>
      <c r="B16" s="863" t="s">
        <v>412</v>
      </c>
      <c r="C16" s="902" t="s">
        <v>411</v>
      </c>
      <c r="D16" s="268">
        <v>0.65</v>
      </c>
      <c r="E16" s="863" t="s">
        <v>32</v>
      </c>
      <c r="F16" s="901">
        <v>1</v>
      </c>
      <c r="G16" s="1168" t="s">
        <v>555</v>
      </c>
      <c r="H16" s="1167">
        <f>1/8</f>
        <v>0.125</v>
      </c>
      <c r="I16" s="214">
        <f>D16*F16*H16</f>
        <v>8.1250000000000003E-2</v>
      </c>
      <c r="J16" s="505"/>
      <c r="K16" s="505"/>
      <c r="L16" s="505"/>
      <c r="M16" s="505"/>
      <c r="N16" s="505"/>
      <c r="O16" s="905"/>
    </row>
    <row r="17" spans="1:15" ht="16.899999999999999" customHeight="1" x14ac:dyDescent="0.25">
      <c r="A17" s="903">
        <v>40</v>
      </c>
      <c r="B17" s="271" t="s">
        <v>92</v>
      </c>
      <c r="C17" s="904" t="s">
        <v>196</v>
      </c>
      <c r="D17" s="268">
        <v>0.04</v>
      </c>
      <c r="E17" s="271" t="s">
        <v>93</v>
      </c>
      <c r="F17" s="861">
        <v>0.3</v>
      </c>
      <c r="G17" s="861" t="s">
        <v>339</v>
      </c>
      <c r="H17" s="861">
        <v>3</v>
      </c>
      <c r="I17" s="214">
        <f>D17*F17*H17</f>
        <v>3.6000000000000004E-2</v>
      </c>
      <c r="J17" s="508"/>
      <c r="K17" s="508"/>
      <c r="L17" s="508"/>
      <c r="M17" s="508"/>
      <c r="N17" s="508"/>
      <c r="O17" s="896"/>
    </row>
    <row r="18" spans="1:15" ht="15" customHeight="1" x14ac:dyDescent="0.25">
      <c r="A18" s="903">
        <v>50</v>
      </c>
      <c r="B18" s="902" t="s">
        <v>410</v>
      </c>
      <c r="C18" s="902" t="s">
        <v>409</v>
      </c>
      <c r="D18" s="268">
        <v>0.35</v>
      </c>
      <c r="E18" s="863" t="s">
        <v>198</v>
      </c>
      <c r="F18" s="901">
        <v>1</v>
      </c>
      <c r="G18" s="721"/>
      <c r="H18" s="861">
        <v>1</v>
      </c>
      <c r="I18" s="214">
        <f>D18*F18*H18</f>
        <v>0.35</v>
      </c>
      <c r="J18" s="510"/>
      <c r="K18" s="510"/>
      <c r="L18" s="510"/>
      <c r="M18" s="510"/>
      <c r="N18" s="510"/>
      <c r="O18" s="900"/>
    </row>
    <row r="19" spans="1:15" x14ac:dyDescent="0.25">
      <c r="A19" s="899"/>
      <c r="B19" s="898"/>
      <c r="C19" s="898"/>
      <c r="D19" s="898"/>
      <c r="E19" s="898"/>
      <c r="F19" s="898"/>
      <c r="G19" s="898"/>
      <c r="H19" s="875" t="s">
        <v>18</v>
      </c>
      <c r="I19" s="874">
        <f>SUM(I14:I18)</f>
        <v>1.2897500000000002</v>
      </c>
      <c r="J19" s="898"/>
      <c r="K19" s="898"/>
      <c r="L19" s="898"/>
      <c r="M19" s="898"/>
      <c r="N19" s="898"/>
      <c r="O19" s="259"/>
    </row>
    <row r="20" spans="1:15" x14ac:dyDescent="0.25">
      <c r="A20" s="897"/>
      <c r="B20" s="508"/>
      <c r="C20" s="508"/>
      <c r="D20" s="508"/>
      <c r="E20" s="508"/>
      <c r="F20" s="508"/>
      <c r="G20" s="508"/>
      <c r="H20" s="508"/>
      <c r="I20" s="510"/>
      <c r="J20" s="508"/>
      <c r="K20" s="508"/>
      <c r="L20" s="508"/>
      <c r="M20" s="508"/>
      <c r="N20" s="508"/>
      <c r="O20" s="896"/>
    </row>
    <row r="21" spans="1:15" ht="15.75" thickBot="1" x14ac:dyDescent="0.3">
      <c r="A21" s="895"/>
      <c r="B21" s="894"/>
      <c r="C21" s="894"/>
      <c r="D21" s="894"/>
      <c r="E21" s="894"/>
      <c r="F21" s="894"/>
      <c r="G21" s="894"/>
      <c r="H21" s="894"/>
      <c r="I21" s="894"/>
      <c r="J21" s="894"/>
      <c r="K21" s="894"/>
      <c r="L21" s="894"/>
      <c r="M21" s="894"/>
      <c r="N21" s="894"/>
      <c r="O21" s="893"/>
    </row>
  </sheetData>
  <hyperlinks>
    <hyperlink ref="E3" location="dSU_09002" display="Drawing" xr:uid="{00000000-0004-0000-6800-000000000000}"/>
    <hyperlink ref="B4" location="SU_A0900" display="SU_A0900" xr:uid="{00000000-0004-0000-6800-000001000000}"/>
    <hyperlink ref="F2" location="SU_A0900_BOM" display="Back to BOM" xr:uid="{00000000-0004-0000-6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6" fitToHeight="99" orientation="landscape" r:id="rId1"/>
  <headerFooter>
    <oddFooter>Page &amp;P</oddFooter>
  </headerFooter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426</v>
      </c>
    </row>
  </sheetData>
  <hyperlinks>
    <hyperlink ref="B1" location="SU_09002" display="SU_09002" xr:uid="{00000000-0004-0000-6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sheetPr>
    <tabColor rgb="FFFFFF66"/>
    <pageSetUpPr fitToPage="1"/>
  </sheetPr>
  <dimension ref="A1:P40"/>
  <sheetViews>
    <sheetView zoomScale="70" zoomScaleNormal="70" zoomScalePageLayoutView="70" workbookViewId="0">
      <selection activeCell="C26" sqref="C26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17.42578125" customWidth="1"/>
    <col min="5" max="5" width="10" customWidth="1"/>
    <col min="7" max="7" width="28.85546875" customWidth="1"/>
    <col min="9" max="9" width="27.42578125" customWidth="1"/>
    <col min="12" max="12" width="7.7109375" customWidth="1"/>
    <col min="14" max="14" width="10.5703125" customWidth="1"/>
    <col min="15" max="15" width="6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0.23905539548753352</v>
      </c>
      <c r="O2" s="62"/>
    </row>
    <row r="3" spans="1:16" x14ac:dyDescent="0.25">
      <c r="A3" s="99" t="s">
        <v>3</v>
      </c>
      <c r="B3" s="16" t="str">
        <f>'SU A0900'!B3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0.47811079097506703</v>
      </c>
      <c r="O5" s="62"/>
    </row>
    <row r="6" spans="1:16" x14ac:dyDescent="0.25">
      <c r="A6" s="99" t="s">
        <v>7</v>
      </c>
      <c r="B6" t="s">
        <v>423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25">
      <c r="A11" s="951">
        <v>10</v>
      </c>
      <c r="B11" s="659" t="s">
        <v>301</v>
      </c>
      <c r="C11" s="20" t="s">
        <v>416</v>
      </c>
      <c r="D11" s="272">
        <v>2.25</v>
      </c>
      <c r="E11" s="950">
        <f>L11*J11*K11</f>
        <v>2.5253378386616194E-2</v>
      </c>
      <c r="F11" s="20" t="s">
        <v>141</v>
      </c>
      <c r="G11" s="20"/>
      <c r="H11" s="273"/>
      <c r="I11" s="949" t="s">
        <v>415</v>
      </c>
      <c r="J11" s="960">
        <f>PI()*16*16/1000000</f>
        <v>8.0424771931898709E-4</v>
      </c>
      <c r="K11" s="960">
        <v>4.0000000000000001E-3</v>
      </c>
      <c r="L11" s="663">
        <v>7850</v>
      </c>
      <c r="M11" s="23">
        <v>1</v>
      </c>
      <c r="N11" s="272">
        <f>IF(J11="",D11*M11,D11*J11*K11*L11*M11)</f>
        <v>5.6820101369886439E-2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5.6820101369886439E-2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948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25">
      <c r="A15" s="879">
        <v>10</v>
      </c>
      <c r="B15" s="887" t="s">
        <v>344</v>
      </c>
      <c r="C15" s="887"/>
      <c r="D15" s="882">
        <v>1.3</v>
      </c>
      <c r="E15" s="887" t="s">
        <v>35</v>
      </c>
      <c r="F15" s="887">
        <v>1</v>
      </c>
      <c r="G15" s="321" t="s">
        <v>550</v>
      </c>
      <c r="H15" s="1164">
        <v>2.9411764705882353E-2</v>
      </c>
      <c r="I15" s="882">
        <f>D15*F15*H15</f>
        <v>3.8235294117647062E-2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879">
        <v>20</v>
      </c>
      <c r="B16" s="887" t="s">
        <v>92</v>
      </c>
      <c r="C16" s="887"/>
      <c r="D16" s="882">
        <v>0.04</v>
      </c>
      <c r="E16" s="887" t="s">
        <v>93</v>
      </c>
      <c r="F16" s="887">
        <v>1.2</v>
      </c>
      <c r="G16" s="887" t="s">
        <v>339</v>
      </c>
      <c r="H16" s="887">
        <v>3</v>
      </c>
      <c r="I16" s="882">
        <f>D16*F16*H16</f>
        <v>0.14400000000000002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3"/>
      <c r="B22" s="923"/>
      <c r="C22" s="923"/>
      <c r="D22" s="923"/>
      <c r="E22" s="923"/>
      <c r="F22" s="923"/>
      <c r="G22" s="923"/>
      <c r="H22" s="923"/>
      <c r="I22" s="923"/>
      <c r="J22" s="923"/>
      <c r="K22" s="923"/>
      <c r="L22" s="923"/>
      <c r="M22" s="923"/>
      <c r="N22" s="923"/>
      <c r="O22" s="923"/>
      <c r="P22" s="923"/>
    </row>
    <row r="23" spans="1:16" x14ac:dyDescent="0.25">
      <c r="A23" s="923"/>
      <c r="B23" s="928"/>
      <c r="C23" s="924"/>
      <c r="D23" s="924"/>
      <c r="E23" s="924"/>
      <c r="F23" s="924"/>
      <c r="G23" s="944"/>
      <c r="H23" s="924"/>
      <c r="I23" s="924"/>
      <c r="J23" s="924"/>
      <c r="K23" s="947"/>
      <c r="L23" s="927"/>
      <c r="M23" s="924"/>
      <c r="N23" s="928"/>
      <c r="O23" s="935"/>
      <c r="P23" s="923"/>
    </row>
    <row r="24" spans="1:16" x14ac:dyDescent="0.25">
      <c r="A24" s="923"/>
      <c r="B24" s="928"/>
      <c r="C24" s="924"/>
      <c r="D24" s="946"/>
      <c r="E24" s="944"/>
      <c r="F24" s="924"/>
      <c r="G24" s="924"/>
      <c r="H24" s="924"/>
      <c r="I24" s="924"/>
      <c r="J24" s="924"/>
      <c r="K24" s="924"/>
      <c r="L24" s="924"/>
      <c r="M24" s="924"/>
      <c r="N24" s="928"/>
      <c r="O24" s="945"/>
      <c r="P24" s="923"/>
    </row>
    <row r="25" spans="1:16" x14ac:dyDescent="0.25">
      <c r="A25" s="923"/>
      <c r="B25" s="928"/>
      <c r="C25" s="944"/>
      <c r="D25" s="924"/>
      <c r="E25" s="928"/>
      <c r="F25" s="924"/>
      <c r="G25" s="924"/>
      <c r="H25" s="924"/>
      <c r="I25" s="924"/>
      <c r="J25" s="924"/>
      <c r="K25" s="928"/>
      <c r="L25" s="924"/>
      <c r="M25" s="924"/>
      <c r="N25" s="924"/>
      <c r="O25" s="925"/>
      <c r="P25" s="923"/>
    </row>
    <row r="26" spans="1:16" x14ac:dyDescent="0.25">
      <c r="A26" s="923"/>
      <c r="B26" s="928"/>
      <c r="C26" s="943"/>
      <c r="D26" s="924"/>
      <c r="E26" s="928"/>
      <c r="F26" s="924"/>
      <c r="G26" s="924"/>
      <c r="H26" s="924"/>
      <c r="I26" s="924"/>
      <c r="J26" s="924"/>
      <c r="K26" s="928"/>
      <c r="L26" s="924"/>
      <c r="M26" s="924"/>
      <c r="N26" s="928"/>
      <c r="O26" s="935"/>
      <c r="P26" s="923"/>
    </row>
    <row r="27" spans="1:16" x14ac:dyDescent="0.25">
      <c r="A27" s="923"/>
      <c r="B27" s="928"/>
      <c r="C27" s="942"/>
      <c r="D27" s="924"/>
      <c r="E27" s="924"/>
      <c r="F27" s="924"/>
      <c r="G27" s="924"/>
      <c r="H27" s="924"/>
      <c r="I27" s="924"/>
      <c r="J27" s="924"/>
      <c r="K27" s="928"/>
      <c r="L27" s="924"/>
      <c r="M27" s="924"/>
      <c r="N27" s="924"/>
      <c r="O27" s="924"/>
      <c r="P27" s="923"/>
    </row>
    <row r="28" spans="1:16" x14ac:dyDescent="0.25">
      <c r="A28" s="923"/>
      <c r="B28" s="928"/>
      <c r="C28" s="924"/>
      <c r="D28" s="924"/>
      <c r="E28" s="924"/>
      <c r="F28" s="924"/>
      <c r="G28" s="924"/>
      <c r="H28" s="924"/>
      <c r="I28" s="924"/>
      <c r="J28" s="924"/>
      <c r="K28" s="924"/>
      <c r="L28" s="924"/>
      <c r="M28" s="924"/>
      <c r="N28" s="924"/>
      <c r="O28" s="924"/>
      <c r="P28" s="923"/>
    </row>
    <row r="29" spans="1:16" x14ac:dyDescent="0.25">
      <c r="A29" s="923"/>
      <c r="B29" s="928"/>
      <c r="C29" s="925"/>
      <c r="D29" s="925"/>
      <c r="E29" s="925"/>
      <c r="F29" s="925"/>
      <c r="G29" s="925"/>
      <c r="H29" s="925"/>
      <c r="I29" s="925"/>
      <c r="J29" s="925"/>
      <c r="K29" s="925"/>
      <c r="L29" s="925"/>
      <c r="M29" s="925"/>
      <c r="N29" s="925"/>
      <c r="O29" s="925"/>
      <c r="P29" s="923"/>
    </row>
    <row r="30" spans="1:16" x14ac:dyDescent="0.25">
      <c r="A30" s="923"/>
      <c r="B30" s="923"/>
      <c r="C30" s="923"/>
      <c r="D30" s="923"/>
      <c r="E30" s="923"/>
      <c r="F30" s="923"/>
      <c r="G30" s="923"/>
      <c r="H30" s="923"/>
      <c r="I30" s="923"/>
      <c r="J30" s="923"/>
      <c r="K30" s="923"/>
      <c r="L30" s="923"/>
      <c r="M30" s="923"/>
      <c r="N30" s="923"/>
      <c r="O30" s="923"/>
      <c r="P30" s="923"/>
    </row>
    <row r="31" spans="1:16" x14ac:dyDescent="0.25">
      <c r="A31" s="923"/>
      <c r="B31" s="928"/>
      <c r="C31" s="928"/>
      <c r="D31" s="928"/>
      <c r="E31" s="928"/>
      <c r="F31" s="928"/>
      <c r="G31" s="928"/>
      <c r="H31" s="928"/>
      <c r="I31" s="928"/>
      <c r="J31" s="928"/>
      <c r="K31" s="928"/>
      <c r="L31" s="928"/>
      <c r="M31" s="928"/>
      <c r="N31" s="928"/>
      <c r="O31" s="928"/>
      <c r="P31" s="923"/>
    </row>
    <row r="32" spans="1:16" x14ac:dyDescent="0.25">
      <c r="A32" s="923"/>
      <c r="B32" s="924"/>
      <c r="C32" s="924"/>
      <c r="D32" s="924"/>
      <c r="E32" s="931"/>
      <c r="F32" s="941"/>
      <c r="G32" s="924"/>
      <c r="H32" s="924"/>
      <c r="I32" s="940"/>
      <c r="J32" s="939"/>
      <c r="K32" s="938"/>
      <c r="L32" s="937"/>
      <c r="M32" s="936"/>
      <c r="N32" s="936"/>
      <c r="O32" s="935"/>
      <c r="P32" s="923"/>
    </row>
    <row r="33" spans="1:16" x14ac:dyDescent="0.25">
      <c r="A33" s="923"/>
      <c r="B33" s="928"/>
      <c r="C33" s="928"/>
      <c r="D33" s="928"/>
      <c r="E33" s="928"/>
      <c r="F33" s="928"/>
      <c r="G33" s="928"/>
      <c r="H33" s="928"/>
      <c r="I33" s="928"/>
      <c r="J33" s="928"/>
      <c r="K33" s="928"/>
      <c r="L33" s="928"/>
      <c r="M33" s="928"/>
      <c r="N33" s="930"/>
      <c r="O33" s="929"/>
      <c r="P33" s="923"/>
    </row>
    <row r="34" spans="1:16" x14ac:dyDescent="0.25">
      <c r="A34" s="923"/>
      <c r="B34" s="923"/>
      <c r="C34" s="923"/>
      <c r="D34" s="923"/>
      <c r="E34" s="923"/>
      <c r="F34" s="923"/>
      <c r="G34" s="923"/>
      <c r="H34" s="923"/>
      <c r="I34" s="923"/>
      <c r="J34" s="923"/>
      <c r="K34" s="923"/>
      <c r="L34" s="923"/>
      <c r="M34" s="923"/>
      <c r="N34" s="923"/>
      <c r="O34" s="923"/>
      <c r="P34" s="923"/>
    </row>
    <row r="35" spans="1:16" x14ac:dyDescent="0.25">
      <c r="A35" s="923"/>
      <c r="B35" s="928"/>
      <c r="C35" s="928"/>
      <c r="D35" s="928"/>
      <c r="E35" s="928"/>
      <c r="F35" s="928"/>
      <c r="G35" s="928"/>
      <c r="H35" s="928"/>
      <c r="I35" s="928"/>
      <c r="J35" s="928"/>
      <c r="K35" s="928"/>
      <c r="L35" s="928"/>
      <c r="M35" s="928"/>
      <c r="N35" s="928"/>
      <c r="O35" s="928"/>
      <c r="P35" s="923"/>
    </row>
    <row r="36" spans="1:16" x14ac:dyDescent="0.25">
      <c r="A36" s="923"/>
      <c r="B36" s="924"/>
      <c r="C36" s="658"/>
      <c r="D36" s="934"/>
      <c r="E36" s="931"/>
      <c r="F36" s="924"/>
      <c r="G36" s="924"/>
      <c r="H36" s="932"/>
      <c r="I36" s="933"/>
      <c r="J36" s="931"/>
      <c r="K36" s="925"/>
      <c r="L36" s="925"/>
      <c r="M36" s="925"/>
      <c r="N36" s="925"/>
      <c r="O36" s="925"/>
      <c r="P36" s="923"/>
    </row>
    <row r="37" spans="1:16" x14ac:dyDescent="0.25">
      <c r="A37" s="923"/>
      <c r="B37" s="924"/>
      <c r="C37" s="658"/>
      <c r="D37" s="934"/>
      <c r="E37" s="931"/>
      <c r="F37" s="924"/>
      <c r="G37" s="933"/>
      <c r="H37" s="932"/>
      <c r="I37" s="924"/>
      <c r="J37" s="931"/>
      <c r="K37" s="925"/>
      <c r="L37" s="925"/>
      <c r="M37" s="925"/>
      <c r="N37" s="925"/>
      <c r="O37" s="925"/>
      <c r="P37" s="923"/>
    </row>
    <row r="38" spans="1:16" x14ac:dyDescent="0.25">
      <c r="A38" s="923"/>
      <c r="B38" s="928"/>
      <c r="C38" s="928"/>
      <c r="D38" s="928"/>
      <c r="E38" s="928"/>
      <c r="F38" s="928"/>
      <c r="G38" s="928"/>
      <c r="H38" s="928"/>
      <c r="I38" s="930"/>
      <c r="J38" s="929"/>
      <c r="K38" s="928"/>
      <c r="L38" s="928"/>
      <c r="M38" s="928"/>
      <c r="N38" s="928"/>
      <c r="O38" s="928"/>
      <c r="P38" s="923"/>
    </row>
    <row r="39" spans="1:16" x14ac:dyDescent="0.25">
      <c r="A39" s="923"/>
      <c r="B39" s="925"/>
      <c r="C39" s="925"/>
      <c r="D39" s="925"/>
      <c r="E39" s="925"/>
      <c r="F39" s="925"/>
      <c r="G39" s="925"/>
      <c r="H39" s="925"/>
      <c r="I39" s="927"/>
      <c r="J39" s="926"/>
      <c r="K39" s="925"/>
      <c r="L39" s="924"/>
      <c r="M39" s="924"/>
      <c r="N39" s="924"/>
      <c r="O39" s="924"/>
      <c r="P39" s="923"/>
    </row>
    <row r="40" spans="1:16" x14ac:dyDescent="0.25">
      <c r="B40" s="922"/>
      <c r="C40" s="922"/>
      <c r="D40" s="922"/>
      <c r="E40" s="922"/>
      <c r="F40" s="922"/>
      <c r="G40" s="922"/>
      <c r="H40" s="922"/>
      <c r="I40" s="922"/>
      <c r="J40" s="922"/>
      <c r="K40" s="922"/>
      <c r="L40" s="922"/>
      <c r="M40" s="922"/>
      <c r="N40" s="922"/>
      <c r="O40" s="922"/>
    </row>
  </sheetData>
  <hyperlinks>
    <hyperlink ref="E3" location="dSU_09003" display="Drawing" xr:uid="{00000000-0004-0000-6A00-000000000000}"/>
    <hyperlink ref="B4" location="SU_A0900" display="SU_A0900" xr:uid="{00000000-0004-0000-6A00-000001000000}"/>
    <hyperlink ref="G2" location="SU_A0900_BOM" display="Back to BOM" xr:uid="{00000000-0004-0000-6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427</v>
      </c>
    </row>
  </sheetData>
  <hyperlinks>
    <hyperlink ref="B1" location="SU_09003" display="SU_09003" xr:uid="{00000000-0004-0000-6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sheetPr>
    <tabColor rgb="FFFFFF66"/>
    <pageSetUpPr fitToPage="1"/>
  </sheetPr>
  <dimension ref="A1:O18"/>
  <sheetViews>
    <sheetView zoomScaleNormal="100" zoomScalePageLayoutView="70" workbookViewId="0">
      <selection activeCell="G2" sqref="G2"/>
    </sheetView>
  </sheetViews>
  <sheetFormatPr baseColWidth="10" defaultRowHeight="15" x14ac:dyDescent="0.25"/>
  <cols>
    <col min="2" max="2" width="17.28515625" customWidth="1"/>
    <col min="3" max="3" width="11.85546875" customWidth="1"/>
    <col min="7" max="7" width="18.7109375" customWidth="1"/>
    <col min="8" max="8" width="9.5703125" customWidth="1"/>
    <col min="9" max="9" width="12.7109375" customWidth="1"/>
    <col min="15" max="15" width="6.8554687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1.0636402027397729</v>
      </c>
      <c r="O2" s="62"/>
    </row>
    <row r="3" spans="1:15" x14ac:dyDescent="0.25">
      <c r="A3" s="99" t="s">
        <v>3</v>
      </c>
      <c r="B3" s="16" t="str">
        <f>'SU A0900'!B3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5" x14ac:dyDescent="0.25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2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2.1272804054795458</v>
      </c>
      <c r="O5" s="62"/>
    </row>
    <row r="6" spans="1:15" x14ac:dyDescent="0.25">
      <c r="A6" s="99" t="s">
        <v>7</v>
      </c>
      <c r="B6" t="s">
        <v>424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29.45" customHeight="1" x14ac:dyDescent="0.25">
      <c r="A11" s="961">
        <v>10</v>
      </c>
      <c r="B11" s="962" t="s">
        <v>301</v>
      </c>
      <c r="C11" s="963" t="s">
        <v>416</v>
      </c>
      <c r="D11" s="32">
        <v>2.25</v>
      </c>
      <c r="E11" s="964">
        <f>L11*J11*K11</f>
        <v>5.0506756773232388E-2</v>
      </c>
      <c r="F11" s="963" t="s">
        <v>141</v>
      </c>
      <c r="G11" s="963"/>
      <c r="H11" s="965"/>
      <c r="I11" s="966" t="s">
        <v>415</v>
      </c>
      <c r="J11" s="960">
        <f>PI()*16*16/1000000</f>
        <v>8.0424771931898709E-4</v>
      </c>
      <c r="K11" s="980">
        <v>8.0000000000000002E-3</v>
      </c>
      <c r="L11" s="975">
        <v>7850</v>
      </c>
      <c r="M11" s="976">
        <v>1</v>
      </c>
      <c r="N11" s="32">
        <f>IF(J11="",D11*M11,D11*J11*K11*L11*M11)</f>
        <v>0.11364020273977288</v>
      </c>
      <c r="O11" s="66"/>
    </row>
    <row r="12" spans="1:15" x14ac:dyDescent="0.25">
      <c r="A12" s="967"/>
      <c r="B12" s="968"/>
      <c r="C12" s="968"/>
      <c r="D12" s="968"/>
      <c r="E12" s="968"/>
      <c r="F12" s="968"/>
      <c r="G12" s="968"/>
      <c r="H12" s="968"/>
      <c r="I12" s="968"/>
      <c r="J12" s="968"/>
      <c r="K12" s="968"/>
      <c r="L12" s="968"/>
      <c r="M12" s="977" t="s">
        <v>18</v>
      </c>
      <c r="N12" s="978">
        <f>SUM(N11:N11)</f>
        <v>0.11364020273977288</v>
      </c>
      <c r="O12" s="62"/>
    </row>
    <row r="13" spans="1:15" x14ac:dyDescent="0.25">
      <c r="A13" s="969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ht="30" x14ac:dyDescent="0.25">
      <c r="A14" s="970" t="s">
        <v>14</v>
      </c>
      <c r="B14" s="971" t="s">
        <v>31</v>
      </c>
      <c r="C14" s="971" t="s">
        <v>20</v>
      </c>
      <c r="D14" s="971" t="s">
        <v>21</v>
      </c>
      <c r="E14" s="971" t="s">
        <v>32</v>
      </c>
      <c r="F14" s="971" t="s">
        <v>17</v>
      </c>
      <c r="G14" s="971" t="s">
        <v>33</v>
      </c>
      <c r="H14" s="971" t="s">
        <v>34</v>
      </c>
      <c r="I14" s="971" t="s">
        <v>18</v>
      </c>
      <c r="J14" s="968"/>
      <c r="K14" s="968"/>
      <c r="L14" s="968"/>
      <c r="M14" s="968"/>
      <c r="N14" s="968"/>
      <c r="O14" s="62"/>
    </row>
    <row r="15" spans="1:15" ht="45" x14ac:dyDescent="0.25">
      <c r="A15" s="972">
        <v>10</v>
      </c>
      <c r="B15" s="973" t="s">
        <v>344</v>
      </c>
      <c r="C15" s="973"/>
      <c r="D15" s="974">
        <v>1.3</v>
      </c>
      <c r="E15" s="973" t="s">
        <v>35</v>
      </c>
      <c r="F15" s="973">
        <v>1</v>
      </c>
      <c r="G15" s="973" t="s">
        <v>378</v>
      </c>
      <c r="H15" s="973">
        <f>1/2</f>
        <v>0.5</v>
      </c>
      <c r="I15" s="974">
        <f>D15*F15*H15</f>
        <v>0.65</v>
      </c>
      <c r="J15" s="58"/>
      <c r="K15" s="58"/>
      <c r="L15" s="58"/>
      <c r="M15" s="58"/>
      <c r="N15" s="58"/>
      <c r="O15" s="68"/>
    </row>
    <row r="16" spans="1:15" x14ac:dyDescent="0.25">
      <c r="A16" s="972">
        <v>20</v>
      </c>
      <c r="B16" s="973" t="s">
        <v>92</v>
      </c>
      <c r="C16" s="973"/>
      <c r="D16" s="974">
        <v>0.04</v>
      </c>
      <c r="E16" s="973" t="s">
        <v>93</v>
      </c>
      <c r="F16" s="973">
        <v>2.5</v>
      </c>
      <c r="G16" s="973" t="s">
        <v>339</v>
      </c>
      <c r="H16" s="973">
        <v>3</v>
      </c>
      <c r="I16" s="974">
        <f>D16*F16*H16</f>
        <v>0.30000000000000004</v>
      </c>
      <c r="J16" s="58"/>
      <c r="K16" s="58"/>
      <c r="L16" s="58"/>
      <c r="M16" s="58"/>
      <c r="N16" s="58"/>
      <c r="O16" s="62"/>
    </row>
    <row r="17" spans="1:15" x14ac:dyDescent="0.25">
      <c r="A17" s="967"/>
      <c r="B17" s="968"/>
      <c r="C17" s="968"/>
      <c r="D17" s="968"/>
      <c r="E17" s="968"/>
      <c r="F17" s="968"/>
      <c r="G17" s="968"/>
      <c r="H17" s="979" t="s">
        <v>18</v>
      </c>
      <c r="I17" s="978">
        <f>SUM(I15:I16)</f>
        <v>0.95000000000000007</v>
      </c>
      <c r="J17" s="968"/>
      <c r="K17" s="968"/>
      <c r="L17" s="968"/>
      <c r="M17" s="968"/>
      <c r="N17" s="968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 xr:uid="{00000000-0004-0000-6C00-000000000000}"/>
    <hyperlink ref="B4" location="SU_A0900" display="SU_A0900" xr:uid="{00000000-0004-0000-6C00-000001000000}"/>
    <hyperlink ref="G2" location="SU_A0900_BOM" display="Back to BOM" xr:uid="{00000000-0004-0000-6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FFFF66"/>
    <pageSetUpPr fitToPage="1"/>
  </sheetPr>
  <dimension ref="A1:O18"/>
  <sheetViews>
    <sheetView zoomScaleNormal="100" zoomScalePageLayoutView="70" workbookViewId="0">
      <selection activeCell="F18" sqref="F18"/>
    </sheetView>
  </sheetViews>
  <sheetFormatPr baseColWidth="10" defaultRowHeight="15" x14ac:dyDescent="0.25"/>
  <cols>
    <col min="2" max="2" width="18.7109375" customWidth="1"/>
    <col min="3" max="3" width="20" customWidth="1"/>
    <col min="5" max="5" width="9.140625" customWidth="1"/>
    <col min="7" max="7" width="19.7109375" customWidth="1"/>
    <col min="9" max="9" width="12.7109375" customWidth="1"/>
    <col min="11" max="11" width="8.7109375" customWidth="1"/>
    <col min="14" max="14" width="9.42578125" customWidth="1"/>
  </cols>
  <sheetData>
    <row r="1" spans="1:15" x14ac:dyDescent="0.25">
      <c r="A1" s="330"/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2"/>
    </row>
    <row r="2" spans="1:15" x14ac:dyDescent="0.25">
      <c r="A2" s="333" t="s">
        <v>0</v>
      </c>
      <c r="B2" s="334" t="s">
        <v>37</v>
      </c>
      <c r="C2" s="335"/>
      <c r="D2" s="335"/>
      <c r="E2" s="335"/>
      <c r="F2" s="335"/>
      <c r="G2" s="336" t="s">
        <v>62</v>
      </c>
      <c r="H2" s="335"/>
      <c r="I2" s="335"/>
      <c r="J2" s="337" t="s">
        <v>1</v>
      </c>
      <c r="K2" s="338">
        <v>81</v>
      </c>
      <c r="L2" s="335"/>
      <c r="M2" s="333" t="s">
        <v>16</v>
      </c>
      <c r="N2" s="339">
        <f>N12+I17</f>
        <v>0.32421353411764708</v>
      </c>
      <c r="O2" s="340"/>
    </row>
    <row r="3" spans="1:15" x14ac:dyDescent="0.25">
      <c r="A3" s="333" t="s">
        <v>3</v>
      </c>
      <c r="B3" s="334" t="str">
        <f>'SU A0100'!B3</f>
        <v>Suspension &amp; Shocks</v>
      </c>
      <c r="C3" s="335"/>
      <c r="D3" s="333" t="s">
        <v>6</v>
      </c>
      <c r="E3" s="376" t="s">
        <v>60</v>
      </c>
      <c r="F3" s="335"/>
      <c r="G3" s="335"/>
      <c r="H3" s="335"/>
      <c r="I3" s="335"/>
      <c r="J3" s="335"/>
      <c r="K3" s="335"/>
      <c r="L3" s="335"/>
      <c r="M3" s="333" t="s">
        <v>4</v>
      </c>
      <c r="N3" s="342">
        <v>4</v>
      </c>
      <c r="O3" s="340"/>
    </row>
    <row r="4" spans="1:15" x14ac:dyDescent="0.25">
      <c r="A4" s="333" t="s">
        <v>5</v>
      </c>
      <c r="B4" s="336" t="str">
        <f>'SU A0100'!B4</f>
        <v>Upper Front A-arm</v>
      </c>
      <c r="C4" s="335"/>
      <c r="D4" s="333" t="s">
        <v>8</v>
      </c>
      <c r="E4" s="335"/>
      <c r="F4" s="335"/>
      <c r="G4" s="335"/>
      <c r="H4" s="335"/>
      <c r="I4" s="335"/>
      <c r="J4" s="343" t="s">
        <v>6</v>
      </c>
      <c r="K4" s="335"/>
      <c r="L4" s="335"/>
      <c r="M4" s="335"/>
      <c r="N4" s="335"/>
      <c r="O4" s="340"/>
    </row>
    <row r="5" spans="1:15" x14ac:dyDescent="0.25">
      <c r="A5" s="333" t="s">
        <v>15</v>
      </c>
      <c r="B5" s="377" t="s">
        <v>121</v>
      </c>
      <c r="C5" s="335"/>
      <c r="D5" s="333" t="s">
        <v>12</v>
      </c>
      <c r="E5" s="335"/>
      <c r="F5" s="335"/>
      <c r="G5" s="335"/>
      <c r="H5" s="335"/>
      <c r="I5" s="335"/>
      <c r="J5" s="343" t="s">
        <v>8</v>
      </c>
      <c r="K5" s="335"/>
      <c r="L5" s="335"/>
      <c r="M5" s="333" t="s">
        <v>9</v>
      </c>
      <c r="N5" s="339">
        <f>N3*N2</f>
        <v>1.2968541364705883</v>
      </c>
      <c r="O5" s="340"/>
    </row>
    <row r="6" spans="1:15" x14ac:dyDescent="0.25">
      <c r="A6" s="333" t="s">
        <v>7</v>
      </c>
      <c r="B6" s="344" t="s">
        <v>123</v>
      </c>
      <c r="C6" s="335"/>
      <c r="D6" s="335"/>
      <c r="E6" s="335"/>
      <c r="F6" s="335"/>
      <c r="G6" s="335"/>
      <c r="H6" s="335"/>
      <c r="I6" s="335"/>
      <c r="J6" s="343" t="s">
        <v>12</v>
      </c>
      <c r="K6" s="335"/>
      <c r="L6" s="335"/>
      <c r="M6" s="335"/>
      <c r="N6" s="335"/>
      <c r="O6" s="340"/>
    </row>
    <row r="7" spans="1:15" x14ac:dyDescent="0.25">
      <c r="A7" s="333" t="s">
        <v>10</v>
      </c>
      <c r="B7" s="334" t="s">
        <v>11</v>
      </c>
      <c r="C7" s="335"/>
      <c r="D7" s="335"/>
      <c r="E7" s="335"/>
      <c r="F7" s="335"/>
      <c r="G7" s="335"/>
      <c r="H7" s="335"/>
      <c r="I7" s="335"/>
      <c r="J7" s="335"/>
      <c r="K7" s="335"/>
      <c r="L7" s="335"/>
      <c r="M7" s="335"/>
      <c r="N7" s="335"/>
      <c r="O7" s="340"/>
    </row>
    <row r="8" spans="1:15" x14ac:dyDescent="0.25">
      <c r="A8" s="333" t="s">
        <v>13</v>
      </c>
      <c r="B8" s="334"/>
      <c r="C8" s="335"/>
      <c r="D8" s="335"/>
      <c r="E8" s="335"/>
      <c r="F8" s="335"/>
      <c r="G8" s="335"/>
      <c r="H8" s="335"/>
      <c r="I8" s="335"/>
      <c r="J8" s="335"/>
      <c r="K8" s="335"/>
      <c r="L8" s="335"/>
      <c r="M8" s="335"/>
      <c r="N8" s="335"/>
      <c r="O8" s="340"/>
    </row>
    <row r="9" spans="1:15" x14ac:dyDescent="0.25">
      <c r="A9" s="345"/>
      <c r="B9" s="346"/>
      <c r="C9" s="346"/>
      <c r="D9" s="346"/>
      <c r="E9" s="346"/>
      <c r="F9" s="335"/>
      <c r="G9" s="335"/>
      <c r="H9" s="335"/>
      <c r="I9" s="335"/>
      <c r="J9" s="335"/>
      <c r="K9" s="335"/>
      <c r="L9" s="335"/>
      <c r="M9" s="335"/>
      <c r="N9" s="335"/>
      <c r="O9" s="340"/>
    </row>
    <row r="10" spans="1:15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5" x14ac:dyDescent="0.25">
      <c r="A11" s="305">
        <v>10</v>
      </c>
      <c r="B11" s="503" t="s">
        <v>204</v>
      </c>
      <c r="C11" s="551"/>
      <c r="D11" s="552">
        <v>2.25</v>
      </c>
      <c r="E11" s="356">
        <f>J11*K11*L11</f>
        <v>6.3101440000000009E-2</v>
      </c>
      <c r="F11" s="354" t="s">
        <v>94</v>
      </c>
      <c r="G11" s="354"/>
      <c r="H11" s="355"/>
      <c r="I11" s="356" t="s">
        <v>97</v>
      </c>
      <c r="J11" s="357">
        <f>3.14*8*8/1000000</f>
        <v>2.0096E-4</v>
      </c>
      <c r="K11" s="381">
        <v>0.04</v>
      </c>
      <c r="L11" s="359">
        <v>7850</v>
      </c>
      <c r="M11" s="360">
        <v>1</v>
      </c>
      <c r="N11" s="361">
        <f>D11*E11*M11</f>
        <v>0.14197824000000003</v>
      </c>
      <c r="O11" s="362"/>
    </row>
    <row r="12" spans="1:15" x14ac:dyDescent="0.25">
      <c r="A12" s="363"/>
      <c r="B12" s="364"/>
      <c r="C12" s="364"/>
      <c r="D12" s="364"/>
      <c r="E12" s="364"/>
      <c r="F12" s="364"/>
      <c r="G12" s="364"/>
      <c r="H12" s="364"/>
      <c r="I12" s="364"/>
      <c r="J12" s="364"/>
      <c r="K12" s="364"/>
      <c r="L12" s="364"/>
      <c r="M12" s="365" t="s">
        <v>18</v>
      </c>
      <c r="N12" s="366">
        <f>SUM(N11:N11)</f>
        <v>0.14197824000000003</v>
      </c>
      <c r="O12" s="340"/>
    </row>
    <row r="13" spans="1:15" x14ac:dyDescent="0.25">
      <c r="A13" s="367"/>
      <c r="B13" s="335"/>
      <c r="C13" s="335"/>
      <c r="D13" s="335"/>
      <c r="E13" s="335"/>
      <c r="F13" s="335"/>
      <c r="G13" s="335"/>
      <c r="H13" s="335"/>
      <c r="I13" s="335"/>
      <c r="J13" s="335"/>
      <c r="K13" s="335"/>
      <c r="L13" s="335"/>
      <c r="M13" s="335"/>
      <c r="N13" s="335"/>
      <c r="O13" s="340"/>
    </row>
    <row r="14" spans="1:15" x14ac:dyDescent="0.25">
      <c r="A14" s="368" t="s">
        <v>14</v>
      </c>
      <c r="B14" s="349" t="s">
        <v>31</v>
      </c>
      <c r="C14" s="349" t="s">
        <v>20</v>
      </c>
      <c r="D14" s="349" t="s">
        <v>21</v>
      </c>
      <c r="E14" s="349" t="s">
        <v>32</v>
      </c>
      <c r="F14" s="349" t="s">
        <v>17</v>
      </c>
      <c r="G14" s="349" t="s">
        <v>33</v>
      </c>
      <c r="H14" s="349" t="s">
        <v>34</v>
      </c>
      <c r="I14" s="349" t="s">
        <v>18</v>
      </c>
      <c r="J14" s="364"/>
      <c r="K14" s="364"/>
      <c r="L14" s="364"/>
      <c r="M14" s="364"/>
      <c r="N14" s="364"/>
      <c r="O14" s="340"/>
    </row>
    <row r="15" spans="1:15" ht="41.45" customHeight="1" x14ac:dyDescent="0.25">
      <c r="A15" s="322">
        <v>10</v>
      </c>
      <c r="B15" s="322" t="s">
        <v>39</v>
      </c>
      <c r="C15" s="322" t="s">
        <v>68</v>
      </c>
      <c r="D15" s="327">
        <v>1.3</v>
      </c>
      <c r="E15" s="322" t="s">
        <v>32</v>
      </c>
      <c r="F15" s="227">
        <v>1</v>
      </c>
      <c r="G15" s="321" t="s">
        <v>551</v>
      </c>
      <c r="H15" s="1164">
        <v>2.9411764705882353E-2</v>
      </c>
      <c r="I15" s="329">
        <f>IF(H15="",D15*F15,D15*F15*H15)</f>
        <v>3.8235294117647062E-2</v>
      </c>
      <c r="J15" s="370"/>
      <c r="K15" s="370"/>
      <c r="L15" s="370"/>
      <c r="M15" s="370"/>
      <c r="N15" s="370"/>
      <c r="O15" s="371"/>
    </row>
    <row r="16" spans="1:15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1.2</v>
      </c>
      <c r="G16" s="379" t="s">
        <v>197</v>
      </c>
      <c r="H16" s="379">
        <v>3</v>
      </c>
      <c r="I16" s="329">
        <f>IF(H16="",D16*F16,D16*F16*H16)</f>
        <v>0.14400000000000002</v>
      </c>
      <c r="J16" s="335"/>
      <c r="K16" s="335"/>
      <c r="L16" s="335"/>
      <c r="M16" s="335"/>
      <c r="N16" s="335"/>
      <c r="O16" s="340"/>
    </row>
    <row r="17" spans="1:15" x14ac:dyDescent="0.25">
      <c r="A17" s="363"/>
      <c r="B17" s="364"/>
      <c r="C17" s="364"/>
      <c r="D17" s="364"/>
      <c r="E17" s="364"/>
      <c r="F17" s="364"/>
      <c r="G17" s="364"/>
      <c r="H17" s="372" t="s">
        <v>18</v>
      </c>
      <c r="I17" s="366">
        <f>SUM(I15:I16)</f>
        <v>0.18223529411764708</v>
      </c>
      <c r="J17" s="364"/>
      <c r="K17" s="364"/>
      <c r="L17" s="364"/>
      <c r="M17" s="364"/>
      <c r="N17" s="364"/>
      <c r="O17" s="340"/>
    </row>
    <row r="18" spans="1:15" ht="15.75" thickBot="1" x14ac:dyDescent="0.3">
      <c r="A18" s="373"/>
      <c r="B18" s="374"/>
      <c r="C18" s="374"/>
      <c r="D18" s="374"/>
      <c r="E18" s="374"/>
      <c r="F18" s="374"/>
      <c r="G18" s="374"/>
      <c r="H18" s="374"/>
      <c r="I18" s="374"/>
      <c r="J18" s="374"/>
      <c r="K18" s="374"/>
      <c r="L18" s="374"/>
      <c r="M18" s="374"/>
      <c r="N18" s="374"/>
      <c r="O18" s="375"/>
    </row>
  </sheetData>
  <hyperlinks>
    <hyperlink ref="B4" location="'SU A0100'!A1" display="'SU A0100'!A1" xr:uid="{00000000-0004-0000-0A00-000000000000}"/>
    <hyperlink ref="E3" location="dSU_01006" display="Drawing" xr:uid="{00000000-0004-0000-0A00-000001000000}"/>
    <hyperlink ref="G2" location="SU_A0100_BOM" display="Back to BOM" xr:uid="{00000000-0004-0000-0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428</v>
      </c>
    </row>
  </sheetData>
  <hyperlinks>
    <hyperlink ref="B1" location="SU_09004" display="SU_09004" xr:uid="{00000000-0004-0000-6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sheetPr>
    <tabColor rgb="FFFFFF00"/>
    <pageSetUpPr fitToPage="1"/>
  </sheetPr>
  <dimension ref="A1:S44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7.5703125" customWidth="1"/>
    <col min="3" max="3" width="68.7109375" customWidth="1"/>
    <col min="15" max="15" width="5.28515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1"/>
      <c r="N1" s="264"/>
      <c r="O1" s="56"/>
    </row>
    <row r="2" spans="1:15" x14ac:dyDescent="0.25">
      <c r="A2" s="1023" t="s">
        <v>0</v>
      </c>
      <c r="B2" s="16" t="s">
        <v>37</v>
      </c>
      <c r="C2" s="56"/>
      <c r="D2" s="56"/>
      <c r="E2" s="87" t="s">
        <v>62</v>
      </c>
      <c r="F2" s="56"/>
      <c r="G2" s="56"/>
      <c r="H2" s="981" t="s">
        <v>1</v>
      </c>
      <c r="I2" s="83">
        <v>81</v>
      </c>
      <c r="J2" s="56"/>
      <c r="K2" s="981" t="s">
        <v>2</v>
      </c>
      <c r="L2" s="92">
        <f>SU_A1000_pa+SU_A1000_p+SU_A1000_f</f>
        <v>151.09031995285827</v>
      </c>
      <c r="M2" s="259"/>
      <c r="O2" s="56"/>
    </row>
    <row r="3" spans="1:15" x14ac:dyDescent="0.25">
      <c r="A3" s="1023" t="s">
        <v>3</v>
      </c>
      <c r="B3" s="16" t="s">
        <v>429</v>
      </c>
      <c r="C3" s="56"/>
      <c r="D3" s="56"/>
      <c r="E3" s="56"/>
      <c r="F3" s="56"/>
      <c r="G3" s="56"/>
      <c r="H3" s="56"/>
      <c r="I3" s="56"/>
      <c r="J3" s="56"/>
      <c r="K3" s="981" t="s">
        <v>4</v>
      </c>
      <c r="L3" s="82">
        <v>2</v>
      </c>
      <c r="M3" s="259"/>
      <c r="O3" s="56"/>
    </row>
    <row r="4" spans="1:15" x14ac:dyDescent="0.25">
      <c r="A4" s="1023" t="s">
        <v>5</v>
      </c>
      <c r="B4" s="57" t="s">
        <v>430</v>
      </c>
      <c r="C4" s="56"/>
      <c r="D4" s="56"/>
      <c r="E4" s="56"/>
      <c r="F4" s="56"/>
      <c r="G4" s="56"/>
      <c r="H4" s="982" t="s">
        <v>6</v>
      </c>
      <c r="I4" s="56"/>
      <c r="J4" s="56"/>
      <c r="K4" s="56"/>
      <c r="L4" s="56"/>
      <c r="M4" s="259"/>
      <c r="O4" s="56"/>
    </row>
    <row r="5" spans="1:15" x14ac:dyDescent="0.25">
      <c r="A5" s="1023" t="s">
        <v>7</v>
      </c>
      <c r="B5" s="18" t="s">
        <v>431</v>
      </c>
      <c r="C5" s="56"/>
      <c r="D5" s="56"/>
      <c r="E5" s="56"/>
      <c r="F5" s="56"/>
      <c r="G5" s="56"/>
      <c r="H5" s="982" t="s">
        <v>8</v>
      </c>
      <c r="I5" s="56"/>
      <c r="J5" s="56"/>
      <c r="K5" s="981" t="s">
        <v>9</v>
      </c>
      <c r="L5" s="74">
        <f>L2*L3</f>
        <v>302.18063990571653</v>
      </c>
      <c r="M5" s="259"/>
      <c r="O5" s="56"/>
    </row>
    <row r="6" spans="1:15" x14ac:dyDescent="0.25">
      <c r="A6" s="1023" t="s">
        <v>10</v>
      </c>
      <c r="B6" s="16" t="s">
        <v>11</v>
      </c>
      <c r="C6" s="56"/>
      <c r="D6" s="56"/>
      <c r="E6" s="56"/>
      <c r="F6" s="56"/>
      <c r="G6" s="56"/>
      <c r="H6" s="982" t="s">
        <v>12</v>
      </c>
      <c r="I6" s="56"/>
      <c r="J6" s="56"/>
      <c r="K6" s="56"/>
      <c r="L6" s="56"/>
      <c r="M6" s="259"/>
      <c r="O6" s="56"/>
    </row>
    <row r="7" spans="1:15" x14ac:dyDescent="0.25">
      <c r="A7" s="1023" t="s">
        <v>13</v>
      </c>
      <c r="B7" s="16" t="s">
        <v>432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59"/>
      <c r="N7" s="56"/>
      <c r="O7" s="56"/>
    </row>
    <row r="8" spans="1:15" x14ac:dyDescent="0.25">
      <c r="A8" s="699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59"/>
      <c r="N8" s="56"/>
      <c r="O8" s="56"/>
    </row>
    <row r="9" spans="1:15" x14ac:dyDescent="0.25">
      <c r="A9" s="1023" t="s">
        <v>14</v>
      </c>
      <c r="B9" s="981" t="s">
        <v>15</v>
      </c>
      <c r="C9" s="981" t="s">
        <v>16</v>
      </c>
      <c r="D9" s="981" t="s">
        <v>17</v>
      </c>
      <c r="E9" s="981" t="s">
        <v>18</v>
      </c>
      <c r="F9" s="56"/>
      <c r="G9" s="56"/>
      <c r="H9" s="56"/>
      <c r="I9" s="56"/>
      <c r="J9" s="56"/>
      <c r="K9" s="56"/>
      <c r="L9" s="56"/>
      <c r="M9" s="259"/>
      <c r="N9" s="56"/>
      <c r="O9" s="56"/>
    </row>
    <row r="10" spans="1:15" x14ac:dyDescent="0.25">
      <c r="A10" s="708">
        <v>10</v>
      </c>
      <c r="B10" s="86" t="str">
        <f>'SU 10001'!B5</f>
        <v>Front Upright</v>
      </c>
      <c r="C10" s="74">
        <f>'SU 10001'!N2</f>
        <v>106.18580800000001</v>
      </c>
      <c r="D10" s="983">
        <f>'SU 10001'!N3</f>
        <v>1</v>
      </c>
      <c r="E10" s="74">
        <f>C10*D10</f>
        <v>106.18580800000001</v>
      </c>
      <c r="F10" s="56"/>
      <c r="G10" s="56"/>
      <c r="H10" s="56"/>
      <c r="I10" s="56"/>
      <c r="J10" s="56"/>
      <c r="K10" s="56"/>
      <c r="L10" s="56"/>
      <c r="M10" s="259"/>
      <c r="N10" s="56"/>
      <c r="O10" s="56"/>
    </row>
    <row r="11" spans="1:15" x14ac:dyDescent="0.25">
      <c r="A11" s="708">
        <v>20</v>
      </c>
      <c r="B11" s="984" t="s">
        <v>433</v>
      </c>
      <c r="C11" s="74">
        <f>'SU 10002'!N2</f>
        <v>2.5052785600000003</v>
      </c>
      <c r="D11" s="983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17"/>
      <c r="N11" s="57"/>
      <c r="O11" s="56"/>
    </row>
    <row r="12" spans="1:15" x14ac:dyDescent="0.25">
      <c r="A12" s="708">
        <v>30</v>
      </c>
      <c r="B12" s="87" t="s">
        <v>434</v>
      </c>
      <c r="C12" s="74">
        <f>'SU 10003'!N2</f>
        <v>18.677843750000001</v>
      </c>
      <c r="D12" s="983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17"/>
      <c r="N12" s="57"/>
      <c r="O12" s="1027"/>
    </row>
    <row r="13" spans="1:15" s="17" customFormat="1" x14ac:dyDescent="0.25">
      <c r="A13" s="708">
        <v>40</v>
      </c>
      <c r="B13" s="86" t="s">
        <v>435</v>
      </c>
      <c r="C13" s="74">
        <f>'SU 10004'!N2</f>
        <v>0.83572750000000007</v>
      </c>
      <c r="D13" s="983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17"/>
      <c r="N13" s="57"/>
      <c r="O13" s="1027"/>
    </row>
    <row r="14" spans="1:15" s="17" customFormat="1" x14ac:dyDescent="0.25">
      <c r="A14" s="708">
        <v>50</v>
      </c>
      <c r="B14" s="86" t="s">
        <v>436</v>
      </c>
      <c r="C14" s="74">
        <f>'SU 10005'!N2</f>
        <v>0.42691833333333334</v>
      </c>
      <c r="D14" s="983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17"/>
      <c r="N14" s="57"/>
      <c r="O14" s="57"/>
    </row>
    <row r="15" spans="1:15" x14ac:dyDescent="0.25">
      <c r="A15" s="699"/>
      <c r="B15" s="56"/>
      <c r="C15" s="56"/>
      <c r="D15" s="98" t="s">
        <v>18</v>
      </c>
      <c r="E15" s="985">
        <f>SUM(E10:E14)</f>
        <v>134.60843280999998</v>
      </c>
      <c r="F15" s="57"/>
      <c r="G15" s="57"/>
      <c r="H15" s="57"/>
      <c r="I15" s="57"/>
      <c r="J15" s="57"/>
      <c r="K15" s="57"/>
      <c r="L15" s="57"/>
      <c r="M15" s="717"/>
      <c r="N15" s="57"/>
      <c r="O15" s="56"/>
    </row>
    <row r="16" spans="1:15" x14ac:dyDescent="0.25">
      <c r="A16" s="699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59"/>
      <c r="N16" s="56"/>
      <c r="O16" s="56"/>
    </row>
    <row r="17" spans="1:19" x14ac:dyDescent="0.25">
      <c r="A17" s="699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59"/>
      <c r="N17" s="56"/>
      <c r="O17" s="56"/>
    </row>
    <row r="18" spans="1:19" x14ac:dyDescent="0.25">
      <c r="A18" s="1023" t="s">
        <v>14</v>
      </c>
      <c r="B18" s="981" t="s">
        <v>31</v>
      </c>
      <c r="C18" s="981" t="s">
        <v>20</v>
      </c>
      <c r="D18" s="981" t="s">
        <v>21</v>
      </c>
      <c r="E18" s="981" t="s">
        <v>32</v>
      </c>
      <c r="F18" s="981" t="s">
        <v>17</v>
      </c>
      <c r="G18" s="981" t="s">
        <v>33</v>
      </c>
      <c r="H18" s="981" t="s">
        <v>34</v>
      </c>
      <c r="I18" s="981" t="s">
        <v>18</v>
      </c>
      <c r="J18" s="24"/>
      <c r="K18" s="24"/>
      <c r="L18" s="24"/>
      <c r="M18" s="1028"/>
      <c r="N18" s="24"/>
      <c r="O18" s="58"/>
    </row>
    <row r="19" spans="1:19" s="22" customFormat="1" x14ac:dyDescent="0.25">
      <c r="A19" s="1024">
        <v>10</v>
      </c>
      <c r="B19" s="650" t="s">
        <v>437</v>
      </c>
      <c r="C19" s="650" t="s">
        <v>438</v>
      </c>
      <c r="D19" s="987">
        <v>0.56000000000000005</v>
      </c>
      <c r="E19" s="988" t="s">
        <v>35</v>
      </c>
      <c r="F19" s="988">
        <v>1</v>
      </c>
      <c r="G19" s="988"/>
      <c r="H19" s="988">
        <v>1</v>
      </c>
      <c r="I19" s="74">
        <f t="shared" ref="I19:I22" si="0">IF(H19="",D19*F19,D19*F19*H19)</f>
        <v>0.56000000000000005</v>
      </c>
      <c r="J19" s="56"/>
      <c r="K19" s="56"/>
      <c r="L19" s="56"/>
      <c r="M19" s="259"/>
      <c r="N19" s="56"/>
      <c r="O19" s="56"/>
    </row>
    <row r="20" spans="1:19" x14ac:dyDescent="0.25">
      <c r="A20" s="1019">
        <v>20</v>
      </c>
      <c r="B20" s="1000" t="s">
        <v>439</v>
      </c>
      <c r="C20" s="1000" t="s">
        <v>440</v>
      </c>
      <c r="D20" s="1001">
        <v>0.13</v>
      </c>
      <c r="E20" s="999" t="s">
        <v>35</v>
      </c>
      <c r="F20" s="999">
        <v>1</v>
      </c>
      <c r="G20" s="999"/>
      <c r="H20" s="999">
        <v>1</v>
      </c>
      <c r="I20" s="1002">
        <f t="shared" si="0"/>
        <v>0.13</v>
      </c>
      <c r="J20" s="56"/>
      <c r="K20" s="56"/>
      <c r="L20" s="56"/>
      <c r="M20" s="259"/>
      <c r="N20" s="56"/>
      <c r="O20" s="56"/>
    </row>
    <row r="21" spans="1:19" x14ac:dyDescent="0.25">
      <c r="A21" s="1019">
        <v>30</v>
      </c>
      <c r="B21" s="1000" t="s">
        <v>439</v>
      </c>
      <c r="C21" s="1000" t="s">
        <v>441</v>
      </c>
      <c r="D21" s="1001">
        <v>0.13</v>
      </c>
      <c r="E21" s="999" t="s">
        <v>35</v>
      </c>
      <c r="F21" s="999">
        <v>1</v>
      </c>
      <c r="G21" s="999"/>
      <c r="H21" s="999">
        <v>1</v>
      </c>
      <c r="I21" s="1002">
        <f t="shared" si="0"/>
        <v>0.13</v>
      </c>
      <c r="J21" s="56"/>
      <c r="K21" s="56"/>
      <c r="L21" s="56"/>
      <c r="M21" s="259"/>
      <c r="N21" s="56"/>
      <c r="O21" s="56"/>
    </row>
    <row r="22" spans="1:19" x14ac:dyDescent="0.25">
      <c r="A22" s="1019">
        <v>40</v>
      </c>
      <c r="B22" s="1000" t="s">
        <v>439</v>
      </c>
      <c r="C22" s="1000" t="s">
        <v>442</v>
      </c>
      <c r="D22" s="1001">
        <v>0.13</v>
      </c>
      <c r="E22" s="999" t="s">
        <v>35</v>
      </c>
      <c r="F22" s="999">
        <v>1</v>
      </c>
      <c r="G22" s="999"/>
      <c r="H22" s="999">
        <v>1</v>
      </c>
      <c r="I22" s="1002">
        <f t="shared" si="0"/>
        <v>0.13</v>
      </c>
      <c r="J22" s="57"/>
      <c r="K22" s="57"/>
      <c r="L22" s="57"/>
      <c r="M22" s="717"/>
      <c r="N22" s="57"/>
      <c r="O22" s="57"/>
    </row>
    <row r="23" spans="1:19" s="25" customFormat="1" ht="14.45" customHeight="1" x14ac:dyDescent="0.25">
      <c r="A23" s="1025">
        <v>50</v>
      </c>
      <c r="B23" s="1000" t="s">
        <v>292</v>
      </c>
      <c r="C23" s="1000" t="s">
        <v>443</v>
      </c>
      <c r="D23" s="1001">
        <v>0.75</v>
      </c>
      <c r="E23" s="999" t="s">
        <v>35</v>
      </c>
      <c r="F23" s="999">
        <v>3</v>
      </c>
      <c r="G23" s="999"/>
      <c r="H23" s="999">
        <v>1</v>
      </c>
      <c r="I23" s="1002">
        <f>IF(H23="",D23*F23,D23*F23*H23)</f>
        <v>2.25</v>
      </c>
      <c r="J23" s="57"/>
      <c r="K23" s="57"/>
      <c r="L23" s="57"/>
      <c r="M23" s="717"/>
      <c r="N23" s="57"/>
      <c r="O23" s="58"/>
    </row>
    <row r="24" spans="1:19" ht="16.149999999999999" customHeight="1" x14ac:dyDescent="0.25">
      <c r="A24" s="1019">
        <v>60</v>
      </c>
      <c r="B24" s="640" t="s">
        <v>444</v>
      </c>
      <c r="C24" s="1000" t="s">
        <v>443</v>
      </c>
      <c r="D24" s="1006">
        <v>0.25</v>
      </c>
      <c r="E24" s="1003" t="s">
        <v>32</v>
      </c>
      <c r="F24" s="1003">
        <v>3</v>
      </c>
      <c r="G24" s="999"/>
      <c r="H24" s="999">
        <v>1</v>
      </c>
      <c r="I24" s="1002">
        <f>IF(H24="",D24*F24,D24*F24*H24)</f>
        <v>0.75</v>
      </c>
      <c r="J24" s="57"/>
      <c r="K24" s="57"/>
      <c r="L24" s="57"/>
      <c r="M24" s="717"/>
      <c r="N24" s="57"/>
      <c r="O24" s="58"/>
    </row>
    <row r="25" spans="1:19" x14ac:dyDescent="0.25">
      <c r="A25" s="1019">
        <v>70</v>
      </c>
      <c r="B25" s="1000" t="s">
        <v>439</v>
      </c>
      <c r="C25" s="1000" t="s">
        <v>445</v>
      </c>
      <c r="D25" s="1001">
        <v>0.13</v>
      </c>
      <c r="E25" s="999" t="s">
        <v>446</v>
      </c>
      <c r="F25" s="999">
        <v>1</v>
      </c>
      <c r="G25" s="999"/>
      <c r="H25" s="999">
        <v>1</v>
      </c>
      <c r="I25" s="1002">
        <f>IF(H25="",D25*F25,D25*F25*H25)</f>
        <v>0.13</v>
      </c>
      <c r="J25" s="57"/>
      <c r="K25" s="57"/>
      <c r="L25" s="57"/>
      <c r="M25" s="717"/>
      <c r="N25" s="57"/>
      <c r="O25" s="57"/>
    </row>
    <row r="26" spans="1:19" x14ac:dyDescent="0.25">
      <c r="A26" s="1025">
        <v>80</v>
      </c>
      <c r="B26" s="1000" t="s">
        <v>447</v>
      </c>
      <c r="C26" s="1000" t="s">
        <v>448</v>
      </c>
      <c r="D26" s="1004">
        <v>0.63</v>
      </c>
      <c r="E26" s="999" t="s">
        <v>35</v>
      </c>
      <c r="F26" s="999">
        <v>1</v>
      </c>
      <c r="G26" s="999"/>
      <c r="H26" s="999">
        <v>1</v>
      </c>
      <c r="I26" s="1002">
        <f>IF(H26="",D26*F26,D26*F26*H26)</f>
        <v>0.63</v>
      </c>
      <c r="J26" s="56"/>
      <c r="K26" s="56"/>
      <c r="L26" s="56"/>
      <c r="M26" s="259"/>
      <c r="N26" s="56"/>
      <c r="O26" s="56"/>
    </row>
    <row r="27" spans="1:19" s="17" customFormat="1" x14ac:dyDescent="0.25">
      <c r="A27" s="1019">
        <v>90</v>
      </c>
      <c r="B27" s="1000" t="s">
        <v>292</v>
      </c>
      <c r="C27" s="1000" t="s">
        <v>449</v>
      </c>
      <c r="D27" s="1001">
        <v>0.75</v>
      </c>
      <c r="E27" s="999" t="s">
        <v>32</v>
      </c>
      <c r="F27" s="999">
        <v>2</v>
      </c>
      <c r="G27" s="999"/>
      <c r="H27" s="999">
        <v>1</v>
      </c>
      <c r="I27" s="1001">
        <f t="shared" ref="I27" si="1">D27*F27*H27</f>
        <v>1.5</v>
      </c>
      <c r="J27" s="626"/>
      <c r="K27" s="626"/>
      <c r="L27" s="626"/>
      <c r="M27" s="1026"/>
      <c r="N27" s="626"/>
      <c r="O27" s="626"/>
      <c r="P27" s="626"/>
      <c r="Q27" s="626"/>
      <c r="R27" s="626"/>
      <c r="S27" s="626"/>
    </row>
    <row r="28" spans="1:19" s="25" customFormat="1" x14ac:dyDescent="0.25">
      <c r="A28" s="1019">
        <v>100</v>
      </c>
      <c r="B28" s="1000" t="s">
        <v>444</v>
      </c>
      <c r="C28" s="1000" t="s">
        <v>449</v>
      </c>
      <c r="D28" s="1001">
        <v>0.25</v>
      </c>
      <c r="E28" s="999" t="s">
        <v>32</v>
      </c>
      <c r="F28" s="999">
        <v>2</v>
      </c>
      <c r="G28" s="999"/>
      <c r="H28" s="999">
        <v>1</v>
      </c>
      <c r="I28" s="1001">
        <f>D28*F28*H28</f>
        <v>0.5</v>
      </c>
      <c r="J28" s="626"/>
      <c r="K28" s="626"/>
      <c r="L28" s="626"/>
      <c r="M28" s="1026"/>
      <c r="N28" s="626"/>
      <c r="O28" s="626"/>
      <c r="P28" s="626"/>
      <c r="Q28" s="626"/>
      <c r="R28" s="626"/>
      <c r="S28" s="626"/>
    </row>
    <row r="29" spans="1:19" s="17" customFormat="1" ht="45" x14ac:dyDescent="0.25">
      <c r="A29" s="1019">
        <v>110</v>
      </c>
      <c r="B29" s="271" t="s">
        <v>450</v>
      </c>
      <c r="C29" s="999" t="s">
        <v>451</v>
      </c>
      <c r="D29" s="1005">
        <v>8.75</v>
      </c>
      <c r="E29" s="999" t="s">
        <v>32</v>
      </c>
      <c r="F29" s="999">
        <v>1</v>
      </c>
      <c r="G29" s="999"/>
      <c r="H29" s="999">
        <v>1</v>
      </c>
      <c r="I29" s="1005">
        <f>D29*F29*H29</f>
        <v>8.75</v>
      </c>
      <c r="J29" s="626"/>
      <c r="K29" s="626"/>
      <c r="L29" s="626"/>
      <c r="M29" s="1026"/>
      <c r="N29" s="626"/>
      <c r="O29" s="626"/>
      <c r="P29" s="626"/>
      <c r="Q29" s="626"/>
      <c r="R29" s="626"/>
      <c r="S29" s="626"/>
    </row>
    <row r="30" spans="1:19" x14ac:dyDescent="0.25">
      <c r="A30" s="713"/>
      <c r="B30" s="24"/>
      <c r="C30" s="24"/>
      <c r="D30" s="24"/>
      <c r="E30" s="24"/>
      <c r="F30" s="24"/>
      <c r="G30" s="24"/>
      <c r="H30" s="98" t="s">
        <v>18</v>
      </c>
      <c r="I30" s="985">
        <f>SUM(I19:I29)</f>
        <v>15.46</v>
      </c>
      <c r="J30" s="56"/>
      <c r="K30" s="56"/>
      <c r="L30" s="56"/>
      <c r="M30" s="259"/>
      <c r="N30" s="56"/>
      <c r="O30" s="56"/>
      <c r="P30" s="17"/>
      <c r="Q30" s="17"/>
      <c r="R30" s="17"/>
      <c r="S30" s="17"/>
    </row>
    <row r="31" spans="1:19" x14ac:dyDescent="0.25">
      <c r="A31" s="699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59"/>
      <c r="N31" s="56"/>
      <c r="O31" s="56"/>
      <c r="P31" s="25"/>
      <c r="Q31" s="25"/>
      <c r="R31" s="25"/>
      <c r="S31" s="25"/>
    </row>
    <row r="32" spans="1:19" x14ac:dyDescent="0.25">
      <c r="A32" s="1023" t="s">
        <v>14</v>
      </c>
      <c r="B32" s="981" t="s">
        <v>36</v>
      </c>
      <c r="C32" s="981" t="s">
        <v>20</v>
      </c>
      <c r="D32" s="981" t="s">
        <v>21</v>
      </c>
      <c r="E32" s="981" t="s">
        <v>22</v>
      </c>
      <c r="F32" s="981" t="s">
        <v>23</v>
      </c>
      <c r="G32" s="981" t="s">
        <v>24</v>
      </c>
      <c r="H32" s="981" t="s">
        <v>25</v>
      </c>
      <c r="I32" s="981" t="s">
        <v>17</v>
      </c>
      <c r="J32" s="981" t="s">
        <v>18</v>
      </c>
      <c r="K32" s="56"/>
      <c r="L32" s="56"/>
      <c r="M32" s="259"/>
      <c r="N32" s="56"/>
      <c r="O32" s="56"/>
      <c r="P32" s="17"/>
      <c r="Q32" s="17"/>
      <c r="R32" s="17"/>
      <c r="S32" s="17"/>
    </row>
    <row r="33" spans="1:16" x14ac:dyDescent="0.25">
      <c r="A33" s="1019">
        <v>10</v>
      </c>
      <c r="B33" s="760" t="s">
        <v>557</v>
      </c>
      <c r="C33" s="650" t="s">
        <v>558</v>
      </c>
      <c r="D33" s="1169">
        <f>0.8/105154*E33^2*G33*SQRT(G33)+(0.003*EXP(0.319*E33))</f>
        <v>8.9628250610286439E-2</v>
      </c>
      <c r="E33" s="988">
        <v>6</v>
      </c>
      <c r="F33" s="1035" t="s">
        <v>30</v>
      </c>
      <c r="G33" s="988">
        <v>40</v>
      </c>
      <c r="H33" s="650" t="s">
        <v>30</v>
      </c>
      <c r="I33" s="1036">
        <v>3</v>
      </c>
      <c r="J33" s="1001">
        <f>D33*I33</f>
        <v>0.2688847518308593</v>
      </c>
      <c r="K33" s="56"/>
      <c r="L33" s="56"/>
      <c r="M33" s="259"/>
      <c r="N33" s="56"/>
      <c r="O33" s="56"/>
    </row>
    <row r="34" spans="1:16" x14ac:dyDescent="0.25">
      <c r="A34" s="988">
        <v>20</v>
      </c>
      <c r="B34" s="1170" t="s">
        <v>298</v>
      </c>
      <c r="C34" s="650" t="s">
        <v>558</v>
      </c>
      <c r="D34" s="1169">
        <f>(0.009*EXP(0.2*E34))</f>
        <v>2.9881052304628931E-2</v>
      </c>
      <c r="E34" s="988">
        <v>6</v>
      </c>
      <c r="F34" s="1035" t="s">
        <v>30</v>
      </c>
      <c r="G34" s="988"/>
      <c r="H34" s="650"/>
      <c r="I34" s="1036">
        <v>3</v>
      </c>
      <c r="J34" s="267">
        <f t="shared" ref="J34:J35" si="2">D34*I34</f>
        <v>8.9643156913886801E-2</v>
      </c>
      <c r="K34" s="56"/>
      <c r="L34" s="56"/>
      <c r="M34" s="259"/>
      <c r="N34" s="56"/>
      <c r="O34" s="56"/>
    </row>
    <row r="35" spans="1:16" x14ac:dyDescent="0.25">
      <c r="A35" s="988">
        <v>30</v>
      </c>
      <c r="B35" s="1170" t="s">
        <v>297</v>
      </c>
      <c r="C35" s="650" t="s">
        <v>558</v>
      </c>
      <c r="D35" s="1169">
        <f>0.01</f>
        <v>0.01</v>
      </c>
      <c r="E35" s="988"/>
      <c r="F35" s="1035" t="s">
        <v>30</v>
      </c>
      <c r="G35" s="988"/>
      <c r="H35" s="650"/>
      <c r="I35" s="1036">
        <v>6</v>
      </c>
      <c r="J35" s="267">
        <f t="shared" si="2"/>
        <v>0.06</v>
      </c>
      <c r="K35" s="56"/>
      <c r="L35" s="56"/>
      <c r="M35" s="259"/>
      <c r="N35" s="56"/>
      <c r="O35" s="56"/>
    </row>
    <row r="36" spans="1:16" x14ac:dyDescent="0.25">
      <c r="A36" s="1019">
        <v>70</v>
      </c>
      <c r="B36" s="760" t="s">
        <v>557</v>
      </c>
      <c r="C36" s="650" t="s">
        <v>558</v>
      </c>
      <c r="D36" s="1169">
        <f>0.8/105154*E36^2*G36*SQRT(G36)+(0.003*EXP(0.319*E36))</f>
        <v>0.23710232523720945</v>
      </c>
      <c r="E36" s="988">
        <v>8</v>
      </c>
      <c r="F36" s="1035" t="s">
        <v>30</v>
      </c>
      <c r="G36" s="988">
        <v>55</v>
      </c>
      <c r="H36" s="650" t="s">
        <v>30</v>
      </c>
      <c r="I36" s="1036">
        <v>2</v>
      </c>
      <c r="J36" s="1001">
        <f>D36*I36</f>
        <v>0.4742046504744189</v>
      </c>
      <c r="K36" s="56"/>
      <c r="L36" s="56"/>
      <c r="M36" s="259"/>
      <c r="N36" s="56"/>
      <c r="O36" s="56"/>
    </row>
    <row r="37" spans="1:16" x14ac:dyDescent="0.25">
      <c r="A37" s="988">
        <v>80</v>
      </c>
      <c r="B37" s="1170" t="s">
        <v>298</v>
      </c>
      <c r="C37" s="650" t="s">
        <v>558</v>
      </c>
      <c r="D37" s="1169">
        <f>(0.009*EXP(0.2*E37))</f>
        <v>4.4577291819556032E-2</v>
      </c>
      <c r="E37" s="988">
        <v>8</v>
      </c>
      <c r="F37" s="1035" t="s">
        <v>30</v>
      </c>
      <c r="G37" s="988"/>
      <c r="H37" s="650"/>
      <c r="I37" s="1036">
        <v>2</v>
      </c>
      <c r="J37" s="267">
        <f t="shared" ref="J37:J38" si="3">D37*I37</f>
        <v>8.9154583639112064E-2</v>
      </c>
      <c r="K37" s="56"/>
      <c r="L37" s="56"/>
      <c r="M37" s="259"/>
      <c r="O37" s="56"/>
      <c r="P37" s="56"/>
    </row>
    <row r="38" spans="1:16" x14ac:dyDescent="0.25">
      <c r="A38" s="988">
        <v>90</v>
      </c>
      <c r="B38" s="1170" t="s">
        <v>297</v>
      </c>
      <c r="C38" s="650" t="s">
        <v>558</v>
      </c>
      <c r="D38" s="1169">
        <f>0.01</f>
        <v>0.01</v>
      </c>
      <c r="E38" s="988"/>
      <c r="F38" s="1035" t="s">
        <v>30</v>
      </c>
      <c r="G38" s="988"/>
      <c r="H38" s="650"/>
      <c r="I38" s="1036">
        <v>4</v>
      </c>
      <c r="J38" s="267">
        <f t="shared" si="3"/>
        <v>0.04</v>
      </c>
      <c r="K38" s="56"/>
      <c r="L38" s="56"/>
      <c r="M38" s="259"/>
      <c r="O38" s="56"/>
      <c r="P38" s="56"/>
    </row>
    <row r="39" spans="1:16" x14ac:dyDescent="0.25">
      <c r="A39" s="713"/>
      <c r="B39" s="24"/>
      <c r="C39" s="24"/>
      <c r="D39" s="24"/>
      <c r="E39" s="24"/>
      <c r="F39" s="24"/>
      <c r="G39" s="24"/>
      <c r="H39" s="24"/>
      <c r="I39" s="98" t="s">
        <v>18</v>
      </c>
      <c r="J39" s="985">
        <f>SUM(J33:J38)</f>
        <v>1.0218871428582772</v>
      </c>
      <c r="K39" s="56"/>
      <c r="L39" s="56"/>
      <c r="M39" s="259"/>
      <c r="O39" s="56"/>
      <c r="P39" s="56"/>
    </row>
    <row r="40" spans="1:16" x14ac:dyDescent="0.25">
      <c r="A40" s="699"/>
      <c r="B40" s="56"/>
      <c r="C40" s="56"/>
      <c r="D40" s="56"/>
      <c r="E40" s="56"/>
      <c r="F40" s="56"/>
      <c r="G40" s="56"/>
      <c r="H40" s="56"/>
      <c r="I40" s="56"/>
      <c r="J40" s="24"/>
      <c r="K40" s="56"/>
      <c r="L40" s="56"/>
      <c r="M40" s="259"/>
    </row>
    <row r="41" spans="1:16" ht="15.75" thickBot="1" x14ac:dyDescent="0.3">
      <c r="A41" s="279"/>
      <c r="B41" s="280"/>
      <c r="C41" s="280"/>
      <c r="D41" s="280"/>
      <c r="E41" s="280"/>
      <c r="F41" s="280"/>
      <c r="G41" s="280"/>
      <c r="H41" s="280"/>
      <c r="I41" s="280"/>
      <c r="J41" s="280"/>
      <c r="K41" s="280"/>
      <c r="L41" s="280"/>
      <c r="M41" s="281"/>
    </row>
    <row r="42" spans="1:16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</row>
    <row r="43" spans="1:16" x14ac:dyDescent="0.25">
      <c r="L43" s="56"/>
      <c r="M43" s="56"/>
    </row>
    <row r="44" spans="1:16" x14ac:dyDescent="0.25">
      <c r="L44" s="56"/>
      <c r="M44" s="56"/>
    </row>
  </sheetData>
  <hyperlinks>
    <hyperlink ref="B10" location="'SU 10001'!A1" display="'SU 10001'!A1" xr:uid="{00000000-0004-0000-6E00-000000000000}"/>
    <hyperlink ref="B11" location="'SU 10002'!A1" display="Front Bearing Spacer" xr:uid="{00000000-0004-0000-6E00-000001000000}"/>
    <hyperlink ref="B13" location="'SU 10004'!A1" display="Speed Sensor Spacer" xr:uid="{00000000-0004-0000-6E00-000002000000}"/>
    <hyperlink ref="B14" location="'SU 10005'!A1" display="Camber adjustment shim" xr:uid="{00000000-0004-0000-6E00-000003000000}"/>
    <hyperlink ref="B12" location="'SU 10003'!A1" display="Front Wheel Spacer" xr:uid="{00000000-0004-0000-6E00-000004000000}"/>
    <hyperlink ref="E2" location="SU_A1000_BOM" display="Back to BOM" xr:uid="{00000000-0004-0000-6E00-000005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rstPageNumber="0" fitToHeight="99" orientation="landscape" r:id="rId1"/>
  <headerFooter>
    <oddFooter>Page &amp;P</oddFooter>
  </headerFooter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sheetPr>
    <tabColor rgb="FFFFFF66"/>
    <pageSetUpPr fitToPage="1"/>
  </sheetPr>
  <dimension ref="A1:O31"/>
  <sheetViews>
    <sheetView topLeftCell="A4" zoomScaleNormal="100" zoomScalePageLayoutView="70" workbookViewId="0">
      <selection activeCell="J13" sqref="J13"/>
    </sheetView>
  </sheetViews>
  <sheetFormatPr baseColWidth="10" defaultColWidth="9.140625" defaultRowHeight="15" x14ac:dyDescent="0.25"/>
  <cols>
    <col min="2" max="2" width="24" customWidth="1"/>
    <col min="3" max="3" width="21.7109375" customWidth="1"/>
    <col min="7" max="7" width="18.7109375" customWidth="1"/>
    <col min="9" max="9" width="15.42578125" customWidth="1"/>
    <col min="14" max="14" width="12.5703125" bestFit="1" customWidth="1"/>
    <col min="15" max="15" width="3.140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0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N12+I29</f>
        <v>106.18580800000001</v>
      </c>
      <c r="O2" s="259"/>
    </row>
    <row r="3" spans="1:15" x14ac:dyDescent="0.25">
      <c r="A3" s="1009" t="s">
        <v>3</v>
      </c>
      <c r="B3" s="16" t="str">
        <f>'SU A1000'!B3</f>
        <v>Wheels &amp; Tires</v>
      </c>
      <c r="C3" s="56"/>
      <c r="D3" s="989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259"/>
    </row>
    <row r="4" spans="1:15" x14ac:dyDescent="0.25">
      <c r="A4" s="1009" t="s">
        <v>5</v>
      </c>
      <c r="B4" s="266" t="str">
        <f>'SU A1000'!B4</f>
        <v>Front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259"/>
    </row>
    <row r="5" spans="1:15" x14ac:dyDescent="0.25">
      <c r="A5" s="1009" t="s">
        <v>15</v>
      </c>
      <c r="B5" s="18" t="s">
        <v>452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106.18580800000001</v>
      </c>
      <c r="O5" s="259"/>
    </row>
    <row r="6" spans="1:15" x14ac:dyDescent="0.25">
      <c r="A6" s="1009" t="s">
        <v>7</v>
      </c>
      <c r="B6" s="28" t="s">
        <v>453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259"/>
    </row>
    <row r="7" spans="1:15" x14ac:dyDescent="0.25">
      <c r="A7" s="100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1009" t="s">
        <v>13</v>
      </c>
      <c r="B8" s="16" t="s">
        <v>454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1010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1011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259"/>
    </row>
    <row r="11" spans="1:15" s="22" customFormat="1" ht="30" x14ac:dyDescent="0.25">
      <c r="A11" s="1015">
        <v>10</v>
      </c>
      <c r="B11" s="962" t="s">
        <v>455</v>
      </c>
      <c r="C11" s="963"/>
      <c r="D11" s="32">
        <v>4.2</v>
      </c>
      <c r="E11" s="1016">
        <f>J11*K11*L11</f>
        <v>6.8342400000000003</v>
      </c>
      <c r="F11" s="963" t="s">
        <v>141</v>
      </c>
      <c r="G11" s="963"/>
      <c r="H11" s="965"/>
      <c r="I11" s="824" t="s">
        <v>561</v>
      </c>
      <c r="J11" s="980">
        <f>(180*280*10^-6)</f>
        <v>5.04E-2</v>
      </c>
      <c r="K11" s="980">
        <v>0.05</v>
      </c>
      <c r="L11" s="975">
        <v>2712</v>
      </c>
      <c r="M11" s="976">
        <v>1</v>
      </c>
      <c r="N11" s="32">
        <f>D11*E11</f>
        <v>28.703808000000002</v>
      </c>
      <c r="O11" s="712"/>
    </row>
    <row r="12" spans="1:15" x14ac:dyDescent="0.25">
      <c r="A12" s="713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28.703808000000002</v>
      </c>
      <c r="O12" s="259"/>
    </row>
    <row r="13" spans="1:15" x14ac:dyDescent="0.25">
      <c r="A13" s="699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59"/>
    </row>
    <row r="14" spans="1:15" x14ac:dyDescent="0.25">
      <c r="A14" s="1013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259"/>
    </row>
    <row r="15" spans="1:15" s="25" customFormat="1" ht="30" x14ac:dyDescent="0.25">
      <c r="A15" s="1019">
        <v>10</v>
      </c>
      <c r="B15" s="1000" t="s">
        <v>457</v>
      </c>
      <c r="C15" s="1000" t="s">
        <v>458</v>
      </c>
      <c r="D15" s="1020">
        <v>1.3</v>
      </c>
      <c r="E15" s="999" t="s">
        <v>32</v>
      </c>
      <c r="F15" s="999">
        <v>1</v>
      </c>
      <c r="G15" s="999"/>
      <c r="H15" s="999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14"/>
    </row>
    <row r="16" spans="1:15" ht="30" x14ac:dyDescent="0.25">
      <c r="A16" s="1019">
        <v>20</v>
      </c>
      <c r="B16" s="1000" t="s">
        <v>92</v>
      </c>
      <c r="C16" s="1000" t="s">
        <v>459</v>
      </c>
      <c r="D16" s="1020">
        <v>0.04</v>
      </c>
      <c r="E16" s="999" t="s">
        <v>93</v>
      </c>
      <c r="F16" s="999">
        <v>1362</v>
      </c>
      <c r="G16" s="999" t="s">
        <v>193</v>
      </c>
      <c r="H16" s="999">
        <v>1</v>
      </c>
      <c r="I16" s="32">
        <f t="shared" si="0"/>
        <v>54.480000000000004</v>
      </c>
      <c r="J16" s="56"/>
      <c r="K16" s="56"/>
      <c r="L16" s="56"/>
      <c r="M16" s="56"/>
      <c r="N16" s="56"/>
      <c r="O16" s="259"/>
    </row>
    <row r="17" spans="1:15" s="17" customFormat="1" ht="30" x14ac:dyDescent="0.25">
      <c r="A17" s="1019">
        <v>30</v>
      </c>
      <c r="B17" s="1000" t="s">
        <v>91</v>
      </c>
      <c r="C17" s="1000" t="s">
        <v>460</v>
      </c>
      <c r="D17" s="1020">
        <v>0.65</v>
      </c>
      <c r="E17" s="999" t="s">
        <v>32</v>
      </c>
      <c r="F17" s="999">
        <v>1</v>
      </c>
      <c r="G17" s="999"/>
      <c r="H17" s="999">
        <v>1</v>
      </c>
      <c r="I17" s="32">
        <f t="shared" si="0"/>
        <v>0.65</v>
      </c>
      <c r="J17" s="57"/>
      <c r="K17" s="57"/>
      <c r="L17" s="57"/>
      <c r="M17" s="57"/>
      <c r="N17" s="57"/>
      <c r="O17" s="717"/>
    </row>
    <row r="18" spans="1:15" s="17" customFormat="1" ht="30" x14ac:dyDescent="0.25">
      <c r="A18" s="1019">
        <v>40</v>
      </c>
      <c r="B18" s="1000" t="s">
        <v>92</v>
      </c>
      <c r="C18" s="1000" t="s">
        <v>461</v>
      </c>
      <c r="D18" s="1020">
        <v>0.04</v>
      </c>
      <c r="E18" s="999" t="s">
        <v>93</v>
      </c>
      <c r="F18" s="999">
        <v>352.2</v>
      </c>
      <c r="G18" s="999" t="s">
        <v>193</v>
      </c>
      <c r="H18" s="999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17"/>
    </row>
    <row r="19" spans="1:15" s="17" customFormat="1" x14ac:dyDescent="0.25">
      <c r="A19" s="1019">
        <v>50</v>
      </c>
      <c r="B19" s="1000" t="s">
        <v>91</v>
      </c>
      <c r="C19" s="1000"/>
      <c r="D19" s="1020">
        <v>0.65</v>
      </c>
      <c r="E19" s="999" t="s">
        <v>32</v>
      </c>
      <c r="F19" s="999">
        <v>1</v>
      </c>
      <c r="G19" s="999"/>
      <c r="H19" s="999">
        <v>1</v>
      </c>
      <c r="I19" s="32">
        <f t="shared" si="0"/>
        <v>0.65</v>
      </c>
      <c r="J19" s="57"/>
      <c r="K19" s="57"/>
      <c r="L19" s="57"/>
      <c r="M19" s="57"/>
      <c r="N19" s="57"/>
      <c r="O19" s="717"/>
    </row>
    <row r="20" spans="1:15" s="17" customFormat="1" ht="45" x14ac:dyDescent="0.25">
      <c r="A20" s="1019">
        <v>60</v>
      </c>
      <c r="B20" s="1000" t="s">
        <v>92</v>
      </c>
      <c r="C20" s="1000" t="s">
        <v>462</v>
      </c>
      <c r="D20" s="1020">
        <v>0.04</v>
      </c>
      <c r="E20" s="999" t="s">
        <v>93</v>
      </c>
      <c r="F20" s="999">
        <v>72.2</v>
      </c>
      <c r="G20" s="999" t="s">
        <v>193</v>
      </c>
      <c r="H20" s="999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17"/>
    </row>
    <row r="21" spans="1:15" s="17" customFormat="1" x14ac:dyDescent="0.25">
      <c r="A21" s="1019">
        <v>70</v>
      </c>
      <c r="B21" s="1000" t="s">
        <v>91</v>
      </c>
      <c r="C21" s="1000"/>
      <c r="D21" s="1020">
        <v>0.65</v>
      </c>
      <c r="E21" s="999" t="s">
        <v>32</v>
      </c>
      <c r="F21" s="999">
        <v>1</v>
      </c>
      <c r="G21" s="999"/>
      <c r="H21" s="999">
        <v>1</v>
      </c>
      <c r="I21" s="32">
        <f t="shared" si="0"/>
        <v>0.65</v>
      </c>
      <c r="J21" s="57"/>
      <c r="K21" s="57"/>
      <c r="L21" s="57"/>
      <c r="M21" s="57"/>
      <c r="N21" s="57"/>
      <c r="O21" s="717"/>
    </row>
    <row r="22" spans="1:15" ht="30" x14ac:dyDescent="0.25">
      <c r="A22" s="1019">
        <v>80</v>
      </c>
      <c r="B22" s="1000" t="s">
        <v>92</v>
      </c>
      <c r="C22" s="1000" t="s">
        <v>463</v>
      </c>
      <c r="D22" s="1020">
        <v>0.04</v>
      </c>
      <c r="E22" s="999" t="s">
        <v>93</v>
      </c>
      <c r="F22" s="999">
        <v>1.1000000000000001</v>
      </c>
      <c r="G22" s="999" t="s">
        <v>193</v>
      </c>
      <c r="H22" s="999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59"/>
    </row>
    <row r="23" spans="1:15" x14ac:dyDescent="0.25">
      <c r="A23" s="1019">
        <v>90</v>
      </c>
      <c r="B23" s="1000" t="s">
        <v>91</v>
      </c>
      <c r="C23" s="1000"/>
      <c r="D23" s="1020">
        <v>0.65</v>
      </c>
      <c r="E23" s="999" t="s">
        <v>32</v>
      </c>
      <c r="F23" s="999">
        <v>1</v>
      </c>
      <c r="G23" s="999"/>
      <c r="H23" s="999">
        <v>1</v>
      </c>
      <c r="I23" s="32">
        <f t="shared" si="0"/>
        <v>0.65</v>
      </c>
      <c r="J23" s="56"/>
      <c r="K23" s="56"/>
      <c r="L23" s="56"/>
      <c r="M23" s="56"/>
      <c r="N23" s="56"/>
      <c r="O23" s="259"/>
    </row>
    <row r="24" spans="1:15" ht="30" x14ac:dyDescent="0.25">
      <c r="A24" s="1019">
        <v>100</v>
      </c>
      <c r="B24" s="1000" t="s">
        <v>92</v>
      </c>
      <c r="C24" s="1000" t="s">
        <v>464</v>
      </c>
      <c r="D24" s="1020">
        <v>0.04</v>
      </c>
      <c r="E24" s="999" t="s">
        <v>93</v>
      </c>
      <c r="F24" s="999">
        <v>18.2</v>
      </c>
      <c r="G24" s="999" t="s">
        <v>193</v>
      </c>
      <c r="H24" s="999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59"/>
    </row>
    <row r="25" spans="1:15" x14ac:dyDescent="0.25">
      <c r="A25" s="1019">
        <v>110</v>
      </c>
      <c r="B25" s="1000" t="s">
        <v>91</v>
      </c>
      <c r="C25" s="1000"/>
      <c r="D25" s="1020">
        <v>0.65</v>
      </c>
      <c r="E25" s="999" t="s">
        <v>32</v>
      </c>
      <c r="F25" s="999">
        <v>1</v>
      </c>
      <c r="G25" s="999"/>
      <c r="H25" s="999">
        <v>1</v>
      </c>
      <c r="I25" s="32">
        <f t="shared" si="0"/>
        <v>0.65</v>
      </c>
      <c r="J25" s="56"/>
      <c r="K25" s="56"/>
      <c r="L25" s="56"/>
      <c r="M25" s="56"/>
      <c r="N25" s="56"/>
      <c r="O25" s="259"/>
    </row>
    <row r="26" spans="1:15" ht="30" x14ac:dyDescent="0.25">
      <c r="A26" s="1019">
        <v>120</v>
      </c>
      <c r="B26" s="1000" t="s">
        <v>92</v>
      </c>
      <c r="C26" s="1000" t="s">
        <v>465</v>
      </c>
      <c r="D26" s="1020">
        <v>0.04</v>
      </c>
      <c r="E26" s="999" t="s">
        <v>93</v>
      </c>
      <c r="F26" s="999">
        <v>17.600000000000001</v>
      </c>
      <c r="G26" s="999" t="s">
        <v>193</v>
      </c>
      <c r="H26" s="999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59"/>
    </row>
    <row r="27" spans="1:15" x14ac:dyDescent="0.25">
      <c r="A27" s="1019">
        <v>130</v>
      </c>
      <c r="B27" s="1000" t="s">
        <v>91</v>
      </c>
      <c r="C27" s="1000"/>
      <c r="D27" s="1020">
        <v>0.65</v>
      </c>
      <c r="E27" s="999" t="s">
        <v>32</v>
      </c>
      <c r="F27" s="999">
        <v>1</v>
      </c>
      <c r="G27" s="999"/>
      <c r="H27" s="999">
        <v>1</v>
      </c>
      <c r="I27" s="32">
        <f t="shared" si="0"/>
        <v>0.65</v>
      </c>
      <c r="J27" s="24"/>
      <c r="K27" s="24"/>
      <c r="L27" s="24"/>
      <c r="M27" s="24"/>
      <c r="N27" s="24"/>
      <c r="O27" s="259"/>
    </row>
    <row r="28" spans="1:15" ht="30" x14ac:dyDescent="0.25">
      <c r="A28" s="1019">
        <v>140</v>
      </c>
      <c r="B28" s="1000" t="s">
        <v>92</v>
      </c>
      <c r="C28" s="1000" t="s">
        <v>466</v>
      </c>
      <c r="D28" s="1020">
        <v>0.04</v>
      </c>
      <c r="E28" s="999" t="s">
        <v>93</v>
      </c>
      <c r="F28" s="999">
        <v>5.8</v>
      </c>
      <c r="G28" s="999" t="s">
        <v>193</v>
      </c>
      <c r="H28" s="999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59"/>
    </row>
    <row r="29" spans="1:15" x14ac:dyDescent="0.25">
      <c r="A29" s="713"/>
      <c r="B29" s="24"/>
      <c r="C29" s="24"/>
      <c r="D29" s="24"/>
      <c r="E29" s="24"/>
      <c r="F29" s="24"/>
      <c r="G29" s="24"/>
      <c r="H29" s="108" t="s">
        <v>18</v>
      </c>
      <c r="I29" s="1007">
        <f>SUM(I15:I26)</f>
        <v>77.482000000000014</v>
      </c>
      <c r="J29" s="1008"/>
      <c r="K29" s="56"/>
      <c r="L29" s="56"/>
      <c r="M29" s="56"/>
      <c r="N29" s="56"/>
      <c r="O29" s="259"/>
    </row>
    <row r="30" spans="1:15" x14ac:dyDescent="0.25">
      <c r="A30" s="699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59"/>
    </row>
    <row r="31" spans="1:15" ht="15.75" thickBot="1" x14ac:dyDescent="0.3">
      <c r="A31" s="279"/>
      <c r="B31" s="280"/>
      <c r="C31" s="280"/>
      <c r="D31" s="280"/>
      <c r="E31" s="280"/>
      <c r="F31" s="280"/>
      <c r="G31" s="280"/>
      <c r="H31" s="280"/>
      <c r="I31" s="280"/>
      <c r="J31" s="280"/>
      <c r="K31" s="280"/>
      <c r="L31" s="280"/>
      <c r="M31" s="280"/>
      <c r="N31" s="280"/>
      <c r="O31" s="281"/>
    </row>
  </sheetData>
  <hyperlinks>
    <hyperlink ref="E3" location="dSU_10001" display="Drawing" xr:uid="{00000000-0004-0000-6F00-000000000000}"/>
    <hyperlink ref="B4" location="SU_A1000" display="SU_A1000" xr:uid="{00000000-0004-0000-6F00-000001000000}"/>
    <hyperlink ref="G2" location="SU_A1000_BOM" display="Back to BOM" xr:uid="{00000000-0004-0000-6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sheetPr>
    <tabColor rgb="FFFFFF66"/>
    <pageSetUpPr fitToPage="1"/>
  </sheetPr>
  <dimension ref="A1:B1"/>
  <sheetViews>
    <sheetView zoomScaleNormal="100" zoomScalePageLayoutView="70" workbookViewId="0">
      <selection activeCell="B1" sqref="B1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492</v>
      </c>
    </row>
  </sheetData>
  <hyperlinks>
    <hyperlink ref="B1" location="SU_10001" display="SU_10001" xr:uid="{00000000-0004-0000-7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sheetPr>
    <tabColor rgb="FFFFFF66"/>
    <pageSetUpPr fitToPage="1"/>
  </sheetPr>
  <dimension ref="A1:O21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3" customWidth="1"/>
    <col min="3" max="3" width="22.28515625" customWidth="1"/>
    <col min="7" max="7" width="11.7109375" customWidth="1"/>
    <col min="9" max="9" width="17.5703125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8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SU_10002_m+SU_10002_p</f>
        <v>2.5052785600000003</v>
      </c>
      <c r="O2" s="62"/>
    </row>
    <row r="3" spans="1:15" x14ac:dyDescent="0.25">
      <c r="A3" s="989" t="s">
        <v>3</v>
      </c>
      <c r="B3" s="16" t="str">
        <f>'SU A1000'!B3</f>
        <v>Wheels &amp; Tires</v>
      </c>
      <c r="C3" s="56"/>
      <c r="D3" s="98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62"/>
    </row>
    <row r="4" spans="1:15" x14ac:dyDescent="0.25">
      <c r="A4" s="989" t="s">
        <v>5</v>
      </c>
      <c r="B4" s="266" t="str">
        <f>'SU A1000'!B4</f>
        <v>Front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62"/>
    </row>
    <row r="5" spans="1:15" x14ac:dyDescent="0.25">
      <c r="A5" s="989" t="s">
        <v>15</v>
      </c>
      <c r="B5" s="18" t="s">
        <v>433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2.5052785600000003</v>
      </c>
      <c r="O5" s="62"/>
    </row>
    <row r="6" spans="1:15" x14ac:dyDescent="0.25">
      <c r="A6" s="989" t="s">
        <v>7</v>
      </c>
      <c r="B6" s="28" t="s">
        <v>467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62"/>
    </row>
    <row r="7" spans="1:15" x14ac:dyDescent="0.25">
      <c r="A7" s="98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89" t="s">
        <v>13</v>
      </c>
      <c r="B8" s="16" t="s">
        <v>468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2"/>
    </row>
    <row r="11" spans="1:15" s="22" customFormat="1" ht="30" x14ac:dyDescent="0.25">
      <c r="A11" s="1021">
        <v>10</v>
      </c>
      <c r="B11" s="962" t="s">
        <v>469</v>
      </c>
      <c r="C11" s="963"/>
      <c r="D11" s="32">
        <v>4.2</v>
      </c>
      <c r="E11" s="1016">
        <f>J11*K11*L11</f>
        <v>5.1256800000000005E-2</v>
      </c>
      <c r="F11" s="963" t="s">
        <v>141</v>
      </c>
      <c r="G11" s="963"/>
      <c r="H11" s="965"/>
      <c r="I11" s="824" t="s">
        <v>470</v>
      </c>
      <c r="J11" s="1017">
        <f>0.07*0.045</f>
        <v>3.15E-3</v>
      </c>
      <c r="K11" s="1018">
        <v>6.0000000000000001E-3</v>
      </c>
      <c r="L11" s="975">
        <v>2712</v>
      </c>
      <c r="M11" s="976">
        <v>1</v>
      </c>
      <c r="N11" s="32">
        <f>D11*E11</f>
        <v>0.21527856000000004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0.21527856000000004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998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999">
        <v>10</v>
      </c>
      <c r="B15" s="1000" t="s">
        <v>457</v>
      </c>
      <c r="C15" s="1000" t="s">
        <v>471</v>
      </c>
      <c r="D15" s="1020">
        <v>1.3</v>
      </c>
      <c r="E15" s="999" t="s">
        <v>32</v>
      </c>
      <c r="F15" s="999">
        <v>1</v>
      </c>
      <c r="G15" s="999"/>
      <c r="H15" s="999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30" x14ac:dyDescent="0.25">
      <c r="A16" s="999">
        <v>20</v>
      </c>
      <c r="B16" s="1000" t="s">
        <v>92</v>
      </c>
      <c r="C16" s="1000" t="s">
        <v>472</v>
      </c>
      <c r="D16" s="1020">
        <v>0.04</v>
      </c>
      <c r="E16" s="999" t="s">
        <v>93</v>
      </c>
      <c r="F16" s="999">
        <v>5.3</v>
      </c>
      <c r="G16" s="999" t="s">
        <v>193</v>
      </c>
      <c r="H16" s="999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ht="30" x14ac:dyDescent="0.25">
      <c r="A17" s="999">
        <v>30</v>
      </c>
      <c r="B17" s="1000" t="s">
        <v>91</v>
      </c>
      <c r="C17" s="1000" t="s">
        <v>473</v>
      </c>
      <c r="D17" s="1020">
        <v>0.65</v>
      </c>
      <c r="E17" s="999" t="s">
        <v>32</v>
      </c>
      <c r="F17" s="999">
        <v>1</v>
      </c>
      <c r="G17" s="999"/>
      <c r="H17" s="999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30" x14ac:dyDescent="0.25">
      <c r="A18" s="999">
        <v>40</v>
      </c>
      <c r="B18" s="1000" t="s">
        <v>92</v>
      </c>
      <c r="C18" s="1000" t="s">
        <v>472</v>
      </c>
      <c r="D18" s="1020">
        <v>0.04</v>
      </c>
      <c r="E18" s="999" t="s">
        <v>93</v>
      </c>
      <c r="F18" s="999">
        <v>3.2</v>
      </c>
      <c r="G18" s="999" t="s">
        <v>193</v>
      </c>
      <c r="H18" s="999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25">
      <c r="A19" s="67"/>
      <c r="B19" s="24"/>
      <c r="C19" s="24"/>
      <c r="D19" s="24"/>
      <c r="E19" s="24"/>
      <c r="F19" s="24"/>
      <c r="G19" s="24"/>
      <c r="H19" s="108" t="s">
        <v>18</v>
      </c>
      <c r="I19" s="997">
        <f>SUM(I15:I18)</f>
        <v>2.29</v>
      </c>
      <c r="J19" s="24"/>
      <c r="K19" s="24"/>
      <c r="L19" s="24"/>
      <c r="M19" s="24"/>
      <c r="N19" s="24"/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.75" thickBot="1" x14ac:dyDescent="0.3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 xr:uid="{00000000-0004-0000-7100-000000000000}"/>
    <hyperlink ref="B4" location="SU_A1000" display="SU_A1000" xr:uid="{00000000-0004-0000-7100-000001000000}"/>
    <hyperlink ref="G2" location="SU_A1000_BOM" display="Back to BOM" xr:uid="{00000000-0004-0000-7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1" max="16383" man="1"/>
    <brk id="55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493</v>
      </c>
    </row>
  </sheetData>
  <hyperlinks>
    <hyperlink ref="B1" location="SU_10002" display="SU_10002" xr:uid="{00000000-0004-0000-7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sheetPr>
    <tabColor rgb="FFFFFF66"/>
    <pageSetUpPr fitToPage="1"/>
  </sheetPr>
  <dimension ref="A1:O24"/>
  <sheetViews>
    <sheetView zoomScale="110" zoomScaleNormal="110" zoomScalePageLayoutView="70" workbookViewId="0">
      <selection activeCell="J26" sqref="J26"/>
    </sheetView>
  </sheetViews>
  <sheetFormatPr baseColWidth="10" defaultColWidth="9.140625" defaultRowHeight="15" x14ac:dyDescent="0.25"/>
  <cols>
    <col min="2" max="2" width="17.7109375" customWidth="1"/>
    <col min="3" max="3" width="27.28515625" customWidth="1"/>
    <col min="7" max="7" width="14.42578125" customWidth="1"/>
    <col min="14" max="14" width="12.5703125" bestFit="1" customWidth="1"/>
    <col min="15" max="15" width="3.140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0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SU_10003_m+SU_10003_p</f>
        <v>18.677843750000001</v>
      </c>
      <c r="O2" s="259"/>
    </row>
    <row r="3" spans="1:15" x14ac:dyDescent="0.25">
      <c r="A3" s="1009" t="s">
        <v>3</v>
      </c>
      <c r="B3" s="16" t="str">
        <f>'SU A1000'!B3</f>
        <v>Wheels &amp; Tires</v>
      </c>
      <c r="C3" s="56"/>
      <c r="D3" s="989" t="s">
        <v>6</v>
      </c>
      <c r="E3" s="266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259"/>
    </row>
    <row r="4" spans="1:15" x14ac:dyDescent="0.25">
      <c r="A4" s="1009" t="s">
        <v>5</v>
      </c>
      <c r="B4" s="266" t="str">
        <f>'SU A1000'!B4</f>
        <v>Front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259"/>
    </row>
    <row r="5" spans="1:15" x14ac:dyDescent="0.25">
      <c r="A5" s="1009" t="s">
        <v>15</v>
      </c>
      <c r="B5" s="18" t="s">
        <v>434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18.677843750000001</v>
      </c>
      <c r="O5" s="259"/>
    </row>
    <row r="6" spans="1:15" x14ac:dyDescent="0.25">
      <c r="A6" s="1009" t="s">
        <v>7</v>
      </c>
      <c r="B6" s="28" t="s">
        <v>474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259"/>
    </row>
    <row r="7" spans="1:15" x14ac:dyDescent="0.25">
      <c r="A7" s="100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1009" t="s">
        <v>13</v>
      </c>
      <c r="B8" s="16" t="s">
        <v>475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1010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1011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259"/>
    </row>
    <row r="11" spans="1:15" s="22" customFormat="1" x14ac:dyDescent="0.25">
      <c r="A11" s="1012">
        <v>10</v>
      </c>
      <c r="B11" s="659" t="s">
        <v>476</v>
      </c>
      <c r="C11" s="20"/>
      <c r="D11" s="272">
        <v>2.25</v>
      </c>
      <c r="E11" s="995">
        <f>J11*K11*L11</f>
        <v>1.236375</v>
      </c>
      <c r="F11" s="20" t="s">
        <v>141</v>
      </c>
      <c r="G11" s="20"/>
      <c r="H11" s="273"/>
      <c r="I11" s="21" t="s">
        <v>477</v>
      </c>
      <c r="J11" s="996">
        <f>0.05*0.07</f>
        <v>3.5000000000000005E-3</v>
      </c>
      <c r="K11" s="662">
        <v>4.4999999999999998E-2</v>
      </c>
      <c r="L11" s="663">
        <v>7850</v>
      </c>
      <c r="M11" s="23">
        <v>1</v>
      </c>
      <c r="N11" s="272">
        <f>D11*E11</f>
        <v>2.7818437500000002</v>
      </c>
      <c r="O11" s="712"/>
    </row>
    <row r="12" spans="1:15" x14ac:dyDescent="0.25">
      <c r="A12" s="713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2.7818437500000002</v>
      </c>
      <c r="O12" s="259"/>
    </row>
    <row r="13" spans="1:15" x14ac:dyDescent="0.25">
      <c r="A13" s="699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59"/>
    </row>
    <row r="14" spans="1:15" x14ac:dyDescent="0.25">
      <c r="A14" s="1013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259"/>
    </row>
    <row r="15" spans="1:15" s="25" customFormat="1" x14ac:dyDescent="0.25">
      <c r="A15" s="1014">
        <v>10</v>
      </c>
      <c r="B15" s="650" t="s">
        <v>457</v>
      </c>
      <c r="C15" s="650" t="s">
        <v>458</v>
      </c>
      <c r="D15" s="268">
        <v>1.3</v>
      </c>
      <c r="E15" s="988" t="s">
        <v>32</v>
      </c>
      <c r="F15" s="988">
        <v>1</v>
      </c>
      <c r="G15" s="988"/>
      <c r="H15" s="988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14"/>
    </row>
    <row r="16" spans="1:15" x14ac:dyDescent="0.25">
      <c r="A16" s="1014">
        <v>20</v>
      </c>
      <c r="B16" s="650" t="s">
        <v>92</v>
      </c>
      <c r="C16" s="650" t="s">
        <v>478</v>
      </c>
      <c r="D16" s="268">
        <v>0.04</v>
      </c>
      <c r="E16" s="988" t="s">
        <v>93</v>
      </c>
      <c r="F16" s="988">
        <v>85.4</v>
      </c>
      <c r="G16" s="988" t="s">
        <v>339</v>
      </c>
      <c r="H16" s="988">
        <v>3</v>
      </c>
      <c r="I16" s="272">
        <f>IF(H16="",D16*F16,D16*F16*H16)</f>
        <v>10.248000000000001</v>
      </c>
      <c r="J16" s="56"/>
      <c r="K16" s="56"/>
      <c r="L16" s="56"/>
      <c r="M16" s="56"/>
      <c r="N16" s="56"/>
      <c r="O16" s="259"/>
    </row>
    <row r="17" spans="1:15" s="17" customFormat="1" x14ac:dyDescent="0.25">
      <c r="A17" s="1014">
        <v>30</v>
      </c>
      <c r="B17" s="650" t="s">
        <v>91</v>
      </c>
      <c r="C17" s="650" t="s">
        <v>460</v>
      </c>
      <c r="D17" s="268">
        <v>0.65</v>
      </c>
      <c r="E17" s="988" t="s">
        <v>32</v>
      </c>
      <c r="F17" s="988">
        <v>1</v>
      </c>
      <c r="G17" s="988"/>
      <c r="H17" s="988">
        <v>1</v>
      </c>
      <c r="I17" s="272">
        <f t="shared" si="0"/>
        <v>0.65</v>
      </c>
      <c r="J17" s="57"/>
      <c r="K17" s="57"/>
      <c r="L17" s="57"/>
      <c r="M17" s="57"/>
      <c r="N17" s="57"/>
      <c r="O17" s="717"/>
    </row>
    <row r="18" spans="1:15" s="17" customFormat="1" x14ac:dyDescent="0.25">
      <c r="A18" s="1014">
        <v>40</v>
      </c>
      <c r="B18" s="650" t="s">
        <v>92</v>
      </c>
      <c r="C18" s="650" t="s">
        <v>479</v>
      </c>
      <c r="D18" s="268">
        <v>0.04</v>
      </c>
      <c r="E18" s="988" t="s">
        <v>93</v>
      </c>
      <c r="F18" s="988">
        <v>25.2</v>
      </c>
      <c r="G18" s="988" t="s">
        <v>339</v>
      </c>
      <c r="H18" s="988">
        <v>3</v>
      </c>
      <c r="I18" s="272">
        <f>IF(H18="",D18*F18,D18*F18*H18)</f>
        <v>3.024</v>
      </c>
      <c r="J18" s="57"/>
      <c r="K18" s="57"/>
      <c r="L18" s="57"/>
      <c r="M18" s="57"/>
      <c r="N18" s="57"/>
      <c r="O18" s="717"/>
    </row>
    <row r="19" spans="1:15" s="17" customFormat="1" x14ac:dyDescent="0.25">
      <c r="A19" s="1014">
        <v>50</v>
      </c>
      <c r="B19" s="650" t="s">
        <v>91</v>
      </c>
      <c r="C19" s="650" t="s">
        <v>460</v>
      </c>
      <c r="D19" s="268">
        <v>0.65</v>
      </c>
      <c r="E19" s="988" t="s">
        <v>32</v>
      </c>
      <c r="F19" s="988">
        <v>1</v>
      </c>
      <c r="G19" s="988"/>
      <c r="H19" s="988">
        <v>1</v>
      </c>
      <c r="I19" s="272">
        <f t="shared" si="0"/>
        <v>0.65</v>
      </c>
      <c r="J19" s="57"/>
      <c r="K19" s="57"/>
      <c r="L19" s="57"/>
      <c r="M19" s="57"/>
      <c r="N19" s="57"/>
      <c r="O19" s="717"/>
    </row>
    <row r="20" spans="1:15" s="17" customFormat="1" x14ac:dyDescent="0.25">
      <c r="A20" s="1014">
        <v>60</v>
      </c>
      <c r="B20" s="650" t="s">
        <v>92</v>
      </c>
      <c r="C20" s="650" t="s">
        <v>480</v>
      </c>
      <c r="D20" s="268">
        <v>0.04</v>
      </c>
      <c r="E20" s="988" t="s">
        <v>93</v>
      </c>
      <c r="F20" s="988">
        <v>0.2</v>
      </c>
      <c r="G20" s="988" t="s">
        <v>339</v>
      </c>
      <c r="H20" s="988">
        <v>3</v>
      </c>
      <c r="I20" s="272">
        <f>IF(H20="",D20*F20,D20*F20*H20)</f>
        <v>2.4E-2</v>
      </c>
      <c r="J20" s="57"/>
      <c r="K20" s="57"/>
      <c r="L20" s="57"/>
      <c r="M20" s="57"/>
      <c r="N20" s="57"/>
      <c r="O20" s="717"/>
    </row>
    <row r="21" spans="1:15" x14ac:dyDescent="0.25">
      <c r="A21" s="1014">
        <v>70</v>
      </c>
      <c r="B21" s="650" t="s">
        <v>91</v>
      </c>
      <c r="C21" s="650" t="s">
        <v>460</v>
      </c>
      <c r="D21" s="268">
        <v>0.65</v>
      </c>
      <c r="E21" s="988" t="s">
        <v>32</v>
      </c>
      <c r="F21" s="988">
        <v>1</v>
      </c>
      <c r="G21" s="988"/>
      <c r="H21" s="988">
        <v>1</v>
      </c>
      <c r="I21" s="272">
        <f t="shared" ref="I21" si="1">IF(H21="",D21*F21,D21*F21*H21)</f>
        <v>0.65</v>
      </c>
      <c r="J21" s="24"/>
      <c r="K21" s="24"/>
      <c r="L21" s="24"/>
      <c r="M21" s="24"/>
      <c r="N21" s="24"/>
      <c r="O21" s="259"/>
    </row>
    <row r="22" spans="1:15" x14ac:dyDescent="0.25">
      <c r="A22" s="1014">
        <v>80</v>
      </c>
      <c r="B22" s="650" t="s">
        <v>92</v>
      </c>
      <c r="C22" s="650" t="s">
        <v>481</v>
      </c>
      <c r="D22" s="268">
        <v>0.04</v>
      </c>
      <c r="E22" s="988" t="s">
        <v>93</v>
      </c>
      <c r="F22" s="988">
        <v>3.56</v>
      </c>
      <c r="G22" s="988" t="s">
        <v>339</v>
      </c>
      <c r="H22" s="986">
        <v>3</v>
      </c>
      <c r="I22" s="1029">
        <f>IF(H22="",D22*F22,D22*F22*H22)</f>
        <v>0.42720000000000002</v>
      </c>
      <c r="J22" s="56"/>
      <c r="K22" s="56"/>
      <c r="L22" s="56"/>
      <c r="M22" s="56"/>
      <c r="N22" s="56"/>
      <c r="O22" s="259"/>
    </row>
    <row r="23" spans="1:15" x14ac:dyDescent="0.25">
      <c r="A23" s="699"/>
      <c r="B23" s="56"/>
      <c r="C23" s="56"/>
      <c r="D23" s="56"/>
      <c r="E23" s="56"/>
      <c r="F23" s="56"/>
      <c r="G23" s="56"/>
      <c r="H23" s="105" t="s">
        <v>18</v>
      </c>
      <c r="I23" s="1030">
        <f>SUM(I15:I20)</f>
        <v>15.896000000000001</v>
      </c>
      <c r="J23" s="56"/>
      <c r="K23" s="56"/>
      <c r="L23" s="56"/>
      <c r="M23" s="56"/>
      <c r="N23" s="56"/>
      <c r="O23" s="259"/>
    </row>
    <row r="24" spans="1:15" ht="15.75" thickBot="1" x14ac:dyDescent="0.3">
      <c r="A24" s="279"/>
      <c r="B24" s="280"/>
      <c r="C24" s="280"/>
      <c r="D24" s="280"/>
      <c r="E24" s="280"/>
      <c r="F24" s="280"/>
      <c r="G24" s="280"/>
      <c r="H24" s="280"/>
      <c r="I24" s="280"/>
      <c r="J24" s="280"/>
      <c r="K24" s="280"/>
      <c r="L24" s="280"/>
      <c r="M24" s="280"/>
      <c r="N24" s="280"/>
      <c r="O24" s="281"/>
    </row>
  </sheetData>
  <hyperlinks>
    <hyperlink ref="E3" location="dSU_10003" display="Drawing" xr:uid="{00000000-0004-0000-7300-000000000000}"/>
    <hyperlink ref="B4" location="SU_A1000" display="SU_A1000" xr:uid="{00000000-0004-0000-7300-000001000000}"/>
    <hyperlink ref="G2" location="SU_A1000_BOM" display="Back to BOM" xr:uid="{00000000-0004-0000-7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494</v>
      </c>
    </row>
  </sheetData>
  <hyperlinks>
    <hyperlink ref="B1" location="SU_10003" display="SU_10003" xr:uid="{00000000-0004-0000-7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8.85546875" customWidth="1"/>
    <col min="3" max="3" width="13.42578125" customWidth="1"/>
    <col min="7" max="7" width="11.7109375" customWidth="1"/>
    <col min="9" max="9" width="13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8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SU_10004_m+SU_10004_p</f>
        <v>0.83572750000000007</v>
      </c>
      <c r="O2" s="62"/>
    </row>
    <row r="3" spans="1:15" x14ac:dyDescent="0.25">
      <c r="A3" s="989" t="s">
        <v>3</v>
      </c>
      <c r="B3" s="16" t="str">
        <f>'SU A1000'!B3</f>
        <v>Wheels &amp; Tires</v>
      </c>
      <c r="C3" s="56"/>
      <c r="D3" s="98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62"/>
    </row>
    <row r="4" spans="1:15" x14ac:dyDescent="0.25">
      <c r="A4" s="989" t="s">
        <v>5</v>
      </c>
      <c r="B4" s="266" t="str">
        <f>'SU A1000'!B4</f>
        <v>Front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62"/>
    </row>
    <row r="5" spans="1:15" x14ac:dyDescent="0.25">
      <c r="A5" s="989" t="s">
        <v>15</v>
      </c>
      <c r="B5" s="18" t="s">
        <v>482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0.83572750000000007</v>
      </c>
      <c r="O5" s="62"/>
    </row>
    <row r="6" spans="1:15" x14ac:dyDescent="0.25">
      <c r="A6" s="989" t="s">
        <v>7</v>
      </c>
      <c r="B6" s="28" t="s">
        <v>483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62"/>
    </row>
    <row r="7" spans="1:15" x14ac:dyDescent="0.25">
      <c r="A7" s="98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89" t="s">
        <v>13</v>
      </c>
      <c r="B8" s="16" t="s">
        <v>484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2"/>
    </row>
    <row r="11" spans="1:15" s="25" customFormat="1" ht="30" x14ac:dyDescent="0.25">
      <c r="A11" s="1021">
        <v>10</v>
      </c>
      <c r="B11" s="962" t="s">
        <v>301</v>
      </c>
      <c r="C11" s="963"/>
      <c r="D11" s="32">
        <v>2.25</v>
      </c>
      <c r="E11" s="1016">
        <f>J11*K11*L11</f>
        <v>1.099E-2</v>
      </c>
      <c r="F11" s="963" t="s">
        <v>141</v>
      </c>
      <c r="G11" s="963"/>
      <c r="H11" s="965"/>
      <c r="I11" s="824" t="s">
        <v>485</v>
      </c>
      <c r="J11" s="1017">
        <f>(35*40*10^(-6))</f>
        <v>1.4E-3</v>
      </c>
      <c r="K11" s="1018">
        <v>1E-3</v>
      </c>
      <c r="L11" s="975">
        <v>7850</v>
      </c>
      <c r="M11" s="976">
        <v>1</v>
      </c>
      <c r="N11" s="32">
        <f>D11*E11</f>
        <v>2.4727499999999999E-2</v>
      </c>
      <c r="O11" s="68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2.4727499999999999E-2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998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999">
        <v>10</v>
      </c>
      <c r="B15" s="1000" t="s">
        <v>457</v>
      </c>
      <c r="C15" s="1000" t="s">
        <v>471</v>
      </c>
      <c r="D15" s="1020">
        <v>1.3</v>
      </c>
      <c r="E15" s="999" t="s">
        <v>32</v>
      </c>
      <c r="F15" s="999">
        <v>1</v>
      </c>
      <c r="G15" s="999" t="s">
        <v>486</v>
      </c>
      <c r="H15" s="999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25">
      <c r="A16" s="999">
        <v>20</v>
      </c>
      <c r="B16" s="1000" t="s">
        <v>347</v>
      </c>
      <c r="C16" s="1000"/>
      <c r="D16" s="1020">
        <v>0.01</v>
      </c>
      <c r="E16" s="999" t="s">
        <v>40</v>
      </c>
      <c r="F16" s="999">
        <v>16.100000000000001</v>
      </c>
      <c r="G16" s="658"/>
      <c r="H16" s="1022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25">
      <c r="A17" s="999">
        <v>30</v>
      </c>
      <c r="B17" s="1000" t="s">
        <v>487</v>
      </c>
      <c r="C17" s="1000"/>
      <c r="D17" s="1001">
        <v>0.25</v>
      </c>
      <c r="E17" s="999" t="s">
        <v>488</v>
      </c>
      <c r="F17" s="999">
        <v>2</v>
      </c>
      <c r="G17" s="999"/>
      <c r="H17" s="999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108" t="s">
        <v>18</v>
      </c>
      <c r="I18" s="997">
        <f>SUM(I15:I16)</f>
        <v>0.81100000000000005</v>
      </c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 xr:uid="{00000000-0004-0000-7500-000000000000}"/>
    <hyperlink ref="B4" location="SU_A1000" display="SU_A1000" xr:uid="{00000000-0004-0000-7500-000001000000}"/>
    <hyperlink ref="G2" location="SU_A1000_BOM" display="Back to BOM" xr:uid="{00000000-0004-0000-75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2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0" t="s">
        <v>495</v>
      </c>
    </row>
  </sheetData>
  <hyperlinks>
    <hyperlink ref="B1" location="SU_10004" display="SU_10004" xr:uid="{00000000-0004-0000-76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5" customWidth="1"/>
  </cols>
  <sheetData>
    <row r="1" spans="1:2" x14ac:dyDescent="0.25">
      <c r="A1" t="s">
        <v>99</v>
      </c>
      <c r="B1" s="88" t="str">
        <f>SU_01006</f>
        <v>SU_01006</v>
      </c>
    </row>
  </sheetData>
  <hyperlinks>
    <hyperlink ref="B1" location="SU_01006" display="SU_01006" xr:uid="{00000000-0004-0000-0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28515625" bestFit="1" customWidth="1"/>
    <col min="2" max="2" width="19.140625" customWidth="1"/>
    <col min="4" max="6" width="9.28515625" bestFit="1" customWidth="1"/>
    <col min="7" max="7" width="11.5703125" customWidth="1"/>
    <col min="8" max="8" width="12.7109375" bestFit="1" customWidth="1"/>
    <col min="9" max="9" width="15.42578125" customWidth="1"/>
    <col min="10" max="13" width="9.28515625" bestFit="1" customWidth="1"/>
    <col min="14" max="14" width="12.710937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8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SU_10005_m+SU_10005_p</f>
        <v>0.42691833333333334</v>
      </c>
      <c r="O2" s="62"/>
    </row>
    <row r="3" spans="1:15" x14ac:dyDescent="0.25">
      <c r="A3" s="989" t="s">
        <v>3</v>
      </c>
      <c r="B3" s="16" t="str">
        <f>'SU A1000'!B3</f>
        <v>Wheels &amp; Tires</v>
      </c>
      <c r="C3" s="56"/>
      <c r="D3" s="989" t="s">
        <v>6</v>
      </c>
      <c r="E3" s="990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15</v>
      </c>
      <c r="O3" s="62"/>
    </row>
    <row r="4" spans="1:15" x14ac:dyDescent="0.25">
      <c r="A4" s="989" t="s">
        <v>5</v>
      </c>
      <c r="B4" s="266" t="str">
        <f>'SU A1000'!B4</f>
        <v>Front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62"/>
    </row>
    <row r="5" spans="1:15" x14ac:dyDescent="0.25">
      <c r="A5" s="989" t="s">
        <v>15</v>
      </c>
      <c r="B5" s="18" t="s">
        <v>436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6.4037750000000004</v>
      </c>
      <c r="O5" s="62"/>
    </row>
    <row r="6" spans="1:15" x14ac:dyDescent="0.25">
      <c r="A6" s="989" t="s">
        <v>7</v>
      </c>
      <c r="B6" s="28" t="s">
        <v>489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62"/>
    </row>
    <row r="7" spans="1:15" x14ac:dyDescent="0.25">
      <c r="A7" s="98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89" t="s">
        <v>13</v>
      </c>
      <c r="B8" s="16" t="s">
        <v>490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2"/>
    </row>
    <row r="11" spans="1:15" s="22" customFormat="1" ht="30" x14ac:dyDescent="0.25">
      <c r="A11" s="1021">
        <v>10</v>
      </c>
      <c r="B11" s="760" t="s">
        <v>301</v>
      </c>
      <c r="C11" s="999"/>
      <c r="D11" s="1020">
        <v>2.25</v>
      </c>
      <c r="E11" s="1016">
        <f>J11*K11*L11</f>
        <v>2.826E-2</v>
      </c>
      <c r="F11" s="963" t="s">
        <v>141</v>
      </c>
      <c r="G11" s="963"/>
      <c r="H11" s="965"/>
      <c r="I11" s="824" t="s">
        <v>491</v>
      </c>
      <c r="J11" s="1017">
        <f>0.08*0.045</f>
        <v>3.5999999999999999E-3</v>
      </c>
      <c r="K11" s="1018">
        <v>1E-3</v>
      </c>
      <c r="L11" s="975">
        <v>7850</v>
      </c>
      <c r="M11" s="976">
        <v>1</v>
      </c>
      <c r="N11" s="32">
        <f>D11*E11</f>
        <v>6.3585000000000003E-2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6.3585000000000003E-2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998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999">
        <v>10</v>
      </c>
      <c r="B15" s="1000" t="s">
        <v>457</v>
      </c>
      <c r="C15" s="1000" t="s">
        <v>471</v>
      </c>
      <c r="D15" s="1020">
        <v>1.3</v>
      </c>
      <c r="E15" s="999" t="s">
        <v>32</v>
      </c>
      <c r="F15" s="999">
        <v>1</v>
      </c>
      <c r="G15" s="999" t="s">
        <v>486</v>
      </c>
      <c r="H15" s="999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25">
      <c r="A16" s="999">
        <v>20</v>
      </c>
      <c r="B16" s="1000" t="s">
        <v>347</v>
      </c>
      <c r="C16" s="1000"/>
      <c r="D16" s="1020">
        <v>0.01</v>
      </c>
      <c r="E16" s="999" t="s">
        <v>40</v>
      </c>
      <c r="F16" s="999">
        <v>32</v>
      </c>
      <c r="G16" s="999"/>
      <c r="H16" s="999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997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 xr:uid="{00000000-0004-0000-7700-000000000000}"/>
    <hyperlink ref="B4" location="SU_A1000" display="SU_A1000" xr:uid="{00000000-0004-0000-7700-000001000000}"/>
    <hyperlink ref="G2" location="SU_A1000_BOM" display="Back to BOM" xr:uid="{00000000-0004-0000-7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496</v>
      </c>
    </row>
  </sheetData>
  <hyperlinks>
    <hyperlink ref="B1" location="SU_10005" display="SU_10005" xr:uid="{00000000-0004-0000-7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sheetPr>
    <tabColor rgb="FFFFFF00"/>
    <pageSetUpPr fitToPage="1"/>
  </sheetPr>
  <dimension ref="A1:S45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5.7109375" customWidth="1"/>
    <col min="3" max="3" width="62.140625" customWidth="1"/>
    <col min="15" max="15" width="5.28515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23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81" t="s">
        <v>1</v>
      </c>
      <c r="K2" s="83">
        <v>81</v>
      </c>
      <c r="L2" s="56"/>
      <c r="M2" s="981" t="s">
        <v>2</v>
      </c>
      <c r="N2" s="92">
        <f>E14+I30+J42</f>
        <v>152.31883253564553</v>
      </c>
      <c r="O2" s="259"/>
    </row>
    <row r="3" spans="1:15" x14ac:dyDescent="0.25">
      <c r="A3" s="1023" t="s">
        <v>3</v>
      </c>
      <c r="B3" s="16" t="s">
        <v>429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1" t="s">
        <v>4</v>
      </c>
      <c r="N3" s="82">
        <v>2</v>
      </c>
      <c r="O3" s="259"/>
    </row>
    <row r="4" spans="1:15" x14ac:dyDescent="0.25">
      <c r="A4" s="1023" t="s">
        <v>5</v>
      </c>
      <c r="B4" s="57" t="s">
        <v>517</v>
      </c>
      <c r="C4" s="56"/>
      <c r="D4" s="56"/>
      <c r="E4" s="56"/>
      <c r="F4" s="56"/>
      <c r="G4" s="56"/>
      <c r="H4" s="56"/>
      <c r="I4" s="56"/>
      <c r="J4" s="982" t="s">
        <v>6</v>
      </c>
      <c r="K4" s="56"/>
      <c r="L4" s="56"/>
      <c r="M4" s="56"/>
      <c r="N4" s="56"/>
      <c r="O4" s="259"/>
    </row>
    <row r="5" spans="1:15" x14ac:dyDescent="0.25">
      <c r="A5" s="1023" t="s">
        <v>7</v>
      </c>
      <c r="B5" s="18" t="s">
        <v>518</v>
      </c>
      <c r="C5" s="56"/>
      <c r="D5" s="56"/>
      <c r="E5" s="56"/>
      <c r="F5" s="56"/>
      <c r="G5" s="56"/>
      <c r="H5" s="56"/>
      <c r="I5" s="56"/>
      <c r="J5" s="982" t="s">
        <v>8</v>
      </c>
      <c r="K5" s="56"/>
      <c r="L5" s="56"/>
      <c r="M5" s="981" t="s">
        <v>9</v>
      </c>
      <c r="N5" s="74">
        <f>N2*N3</f>
        <v>304.63766507129105</v>
      </c>
      <c r="O5" s="259"/>
    </row>
    <row r="6" spans="1:15" x14ac:dyDescent="0.25">
      <c r="A6" s="1023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82" t="s">
        <v>12</v>
      </c>
      <c r="K6" s="56"/>
      <c r="L6" s="56"/>
      <c r="M6" s="56"/>
      <c r="N6" s="56"/>
      <c r="O6" s="259"/>
    </row>
    <row r="7" spans="1:15" x14ac:dyDescent="0.25">
      <c r="A7" s="1023" t="s">
        <v>13</v>
      </c>
      <c r="B7" s="16" t="s">
        <v>432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699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1023" t="s">
        <v>14</v>
      </c>
      <c r="B9" s="981" t="s">
        <v>15</v>
      </c>
      <c r="C9" s="981" t="s">
        <v>16</v>
      </c>
      <c r="D9" s="981" t="s">
        <v>17</v>
      </c>
      <c r="E9" s="98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708">
        <v>10</v>
      </c>
      <c r="B10" s="86" t="str">
        <f>'SU 11001'!B5</f>
        <v>Rear Upright</v>
      </c>
      <c r="C10" s="74">
        <f>'SU 11001'!N2</f>
        <v>106.51997000000001</v>
      </c>
      <c r="D10" s="983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59"/>
    </row>
    <row r="11" spans="1:15" x14ac:dyDescent="0.25">
      <c r="A11" s="708">
        <v>20</v>
      </c>
      <c r="B11" s="87" t="s">
        <v>434</v>
      </c>
      <c r="C11" s="74">
        <f>'SU 11002'!N2</f>
        <v>21.194420000000001</v>
      </c>
      <c r="D11" s="983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06"/>
    </row>
    <row r="12" spans="1:15" s="17" customFormat="1" x14ac:dyDescent="0.25">
      <c r="A12" s="708">
        <v>30</v>
      </c>
      <c r="B12" s="86" t="s">
        <v>435</v>
      </c>
      <c r="C12" s="74">
        <f>'SU 11003'!N2</f>
        <v>0.82576020000000006</v>
      </c>
      <c r="D12" s="983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06"/>
    </row>
    <row r="13" spans="1:15" s="17" customFormat="1" x14ac:dyDescent="0.25">
      <c r="A13" s="708">
        <v>40</v>
      </c>
      <c r="B13" s="86" t="s">
        <v>436</v>
      </c>
      <c r="C13" s="74">
        <f>'SU 11004'!N2</f>
        <v>0.42454853333333331</v>
      </c>
      <c r="D13" s="983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17"/>
    </row>
    <row r="14" spans="1:15" x14ac:dyDescent="0.25">
      <c r="A14" s="699"/>
      <c r="B14" s="56"/>
      <c r="C14" s="56"/>
      <c r="D14" s="98" t="s">
        <v>18</v>
      </c>
      <c r="E14" s="985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59"/>
    </row>
    <row r="15" spans="1:15" x14ac:dyDescent="0.25">
      <c r="A15" s="699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59"/>
    </row>
    <row r="16" spans="1:15" x14ac:dyDescent="0.25">
      <c r="A16" s="699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59"/>
    </row>
    <row r="17" spans="1:19" x14ac:dyDescent="0.25">
      <c r="A17" s="1023" t="s">
        <v>14</v>
      </c>
      <c r="B17" s="981" t="s">
        <v>31</v>
      </c>
      <c r="C17" s="981" t="s">
        <v>20</v>
      </c>
      <c r="D17" s="981" t="s">
        <v>21</v>
      </c>
      <c r="E17" s="981" t="s">
        <v>32</v>
      </c>
      <c r="F17" s="981" t="s">
        <v>17</v>
      </c>
      <c r="G17" s="981" t="s">
        <v>33</v>
      </c>
      <c r="H17" s="981" t="s">
        <v>34</v>
      </c>
      <c r="I17" s="981" t="s">
        <v>18</v>
      </c>
      <c r="J17" s="24"/>
      <c r="K17" s="24"/>
      <c r="L17" s="24"/>
      <c r="M17" s="24"/>
      <c r="N17" s="24"/>
      <c r="O17" s="714"/>
    </row>
    <row r="18" spans="1:19" s="22" customFormat="1" ht="30" x14ac:dyDescent="0.25">
      <c r="A18" s="1025">
        <v>10</v>
      </c>
      <c r="B18" s="1000" t="s">
        <v>437</v>
      </c>
      <c r="C18" s="1000" t="s">
        <v>438</v>
      </c>
      <c r="D18" s="1004">
        <v>0.56000000000000005</v>
      </c>
      <c r="E18" s="999" t="s">
        <v>35</v>
      </c>
      <c r="F18" s="999">
        <v>1</v>
      </c>
      <c r="G18" s="999"/>
      <c r="H18" s="999">
        <v>1</v>
      </c>
      <c r="I18" s="1038">
        <f t="shared" ref="I18:I26" si="0">IF(H18="",D18*F18,D18*F18*H18)</f>
        <v>0.56000000000000005</v>
      </c>
      <c r="J18" s="56"/>
      <c r="K18" s="56"/>
      <c r="L18" s="56"/>
      <c r="M18" s="56"/>
      <c r="N18" s="56"/>
      <c r="O18" s="259"/>
    </row>
    <row r="19" spans="1:19" ht="30" x14ac:dyDescent="0.25">
      <c r="A19" s="1019">
        <v>20</v>
      </c>
      <c r="B19" s="1000" t="s">
        <v>439</v>
      </c>
      <c r="C19" s="1000" t="s">
        <v>441</v>
      </c>
      <c r="D19" s="1001">
        <v>0.13</v>
      </c>
      <c r="E19" s="999" t="s">
        <v>35</v>
      </c>
      <c r="F19" s="999">
        <v>1</v>
      </c>
      <c r="G19" s="999"/>
      <c r="H19" s="999">
        <v>1</v>
      </c>
      <c r="I19" s="1038">
        <f t="shared" si="0"/>
        <v>0.13</v>
      </c>
      <c r="J19" s="56"/>
      <c r="K19" s="56"/>
      <c r="L19" s="56"/>
      <c r="M19" s="56"/>
      <c r="N19" s="56"/>
      <c r="O19" s="259"/>
    </row>
    <row r="20" spans="1:19" ht="30" x14ac:dyDescent="0.25">
      <c r="A20" s="1019">
        <v>30</v>
      </c>
      <c r="B20" s="1000" t="s">
        <v>439</v>
      </c>
      <c r="C20" s="1000" t="s">
        <v>442</v>
      </c>
      <c r="D20" s="1001">
        <v>0.13</v>
      </c>
      <c r="E20" s="999" t="s">
        <v>35</v>
      </c>
      <c r="F20" s="999">
        <v>1</v>
      </c>
      <c r="G20" s="999"/>
      <c r="H20" s="999">
        <v>1</v>
      </c>
      <c r="I20" s="1038">
        <f t="shared" si="0"/>
        <v>0.13</v>
      </c>
      <c r="J20" s="57"/>
      <c r="K20" s="57"/>
      <c r="L20" s="57"/>
      <c r="M20" s="57"/>
      <c r="N20" s="57"/>
      <c r="O20" s="717"/>
    </row>
    <row r="21" spans="1:19" s="25" customFormat="1" x14ac:dyDescent="0.25">
      <c r="A21" s="1025">
        <v>40</v>
      </c>
      <c r="B21" s="1000" t="s">
        <v>292</v>
      </c>
      <c r="C21" s="1000" t="s">
        <v>497</v>
      </c>
      <c r="D21" s="1001">
        <v>0.75</v>
      </c>
      <c r="E21" s="999" t="s">
        <v>35</v>
      </c>
      <c r="F21" s="999">
        <v>3</v>
      </c>
      <c r="G21" s="999"/>
      <c r="H21" s="999">
        <v>1</v>
      </c>
      <c r="I21" s="1038">
        <f t="shared" si="0"/>
        <v>2.25</v>
      </c>
      <c r="J21" s="57"/>
      <c r="K21" s="57"/>
      <c r="L21" s="57"/>
      <c r="M21" s="57"/>
      <c r="N21" s="57"/>
      <c r="O21" s="714"/>
    </row>
    <row r="22" spans="1:19" x14ac:dyDescent="0.25">
      <c r="A22" s="1019">
        <v>50</v>
      </c>
      <c r="B22" s="1039" t="s">
        <v>444</v>
      </c>
      <c r="C22" s="1000" t="s">
        <v>497</v>
      </c>
      <c r="D22" s="1040">
        <v>0.25</v>
      </c>
      <c r="E22" s="1003" t="s">
        <v>32</v>
      </c>
      <c r="F22" s="1003">
        <v>3</v>
      </c>
      <c r="G22" s="999"/>
      <c r="H22" s="999">
        <v>1</v>
      </c>
      <c r="I22" s="1038">
        <f t="shared" si="0"/>
        <v>0.75</v>
      </c>
      <c r="J22" s="57"/>
      <c r="K22" s="57"/>
      <c r="L22" s="57"/>
      <c r="M22" s="57"/>
      <c r="N22" s="57"/>
      <c r="O22" s="714"/>
    </row>
    <row r="23" spans="1:19" ht="30" x14ac:dyDescent="0.25">
      <c r="A23" s="1019">
        <v>60</v>
      </c>
      <c r="B23" s="1000" t="s">
        <v>439</v>
      </c>
      <c r="C23" s="1000" t="s">
        <v>445</v>
      </c>
      <c r="D23" s="1001">
        <v>0.13</v>
      </c>
      <c r="E23" s="999" t="s">
        <v>446</v>
      </c>
      <c r="F23" s="999">
        <v>1</v>
      </c>
      <c r="G23" s="999"/>
      <c r="H23" s="999">
        <v>1</v>
      </c>
      <c r="I23" s="1038">
        <f t="shared" si="0"/>
        <v>0.13</v>
      </c>
      <c r="J23" s="57"/>
      <c r="K23" s="57"/>
      <c r="L23" s="57"/>
      <c r="M23" s="57"/>
      <c r="N23" s="57"/>
      <c r="O23" s="717"/>
    </row>
    <row r="24" spans="1:19" s="25" customFormat="1" x14ac:dyDescent="0.25">
      <c r="A24" s="1025">
        <v>70</v>
      </c>
      <c r="B24" s="1000" t="s">
        <v>292</v>
      </c>
      <c r="C24" s="1000" t="s">
        <v>498</v>
      </c>
      <c r="D24" s="1001">
        <v>0.75</v>
      </c>
      <c r="E24" s="999" t="s">
        <v>35</v>
      </c>
      <c r="F24" s="999">
        <v>1</v>
      </c>
      <c r="G24" s="999"/>
      <c r="H24" s="999">
        <v>1</v>
      </c>
      <c r="I24" s="1038">
        <f t="shared" si="0"/>
        <v>0.75</v>
      </c>
      <c r="J24" s="57"/>
      <c r="K24" s="57"/>
      <c r="L24" s="57"/>
      <c r="M24" s="57"/>
      <c r="N24" s="57"/>
      <c r="O24" s="714"/>
    </row>
    <row r="25" spans="1:19" x14ac:dyDescent="0.25">
      <c r="A25" s="1019">
        <v>80</v>
      </c>
      <c r="B25" s="1039" t="s">
        <v>444</v>
      </c>
      <c r="C25" s="1000" t="s">
        <v>498</v>
      </c>
      <c r="D25" s="1040">
        <v>0.25</v>
      </c>
      <c r="E25" s="1003" t="s">
        <v>32</v>
      </c>
      <c r="F25" s="1003">
        <v>1</v>
      </c>
      <c r="G25" s="999"/>
      <c r="H25" s="999">
        <v>1</v>
      </c>
      <c r="I25" s="1038">
        <f t="shared" si="0"/>
        <v>0.25</v>
      </c>
      <c r="J25" s="57"/>
      <c r="K25" s="57"/>
      <c r="L25" s="57"/>
      <c r="M25" s="57"/>
      <c r="N25" s="57"/>
      <c r="O25" s="714"/>
    </row>
    <row r="26" spans="1:19" ht="30" x14ac:dyDescent="0.25">
      <c r="A26" s="1025">
        <v>90</v>
      </c>
      <c r="B26" s="1000" t="s">
        <v>447</v>
      </c>
      <c r="C26" s="1000" t="s">
        <v>448</v>
      </c>
      <c r="D26" s="1004">
        <v>0.63</v>
      </c>
      <c r="E26" s="999" t="s">
        <v>35</v>
      </c>
      <c r="F26" s="999">
        <v>1</v>
      </c>
      <c r="G26" s="999"/>
      <c r="H26" s="999">
        <v>1</v>
      </c>
      <c r="I26" s="1038">
        <f t="shared" si="0"/>
        <v>0.63</v>
      </c>
      <c r="J26" s="56"/>
      <c r="K26" s="56"/>
      <c r="L26" s="56"/>
      <c r="M26" s="56"/>
      <c r="N26" s="56"/>
      <c r="O26" s="259"/>
    </row>
    <row r="27" spans="1:19" s="17" customFormat="1" x14ac:dyDescent="0.25">
      <c r="A27" s="1019">
        <v>100</v>
      </c>
      <c r="B27" s="1000" t="s">
        <v>292</v>
      </c>
      <c r="C27" s="1000" t="s">
        <v>560</v>
      </c>
      <c r="D27" s="1001">
        <v>0.75</v>
      </c>
      <c r="E27" s="999" t="s">
        <v>32</v>
      </c>
      <c r="F27" s="999">
        <v>2</v>
      </c>
      <c r="G27" s="999"/>
      <c r="H27" s="999">
        <v>1</v>
      </c>
      <c r="I27" s="1001">
        <f t="shared" ref="I27" si="1">D27*F27*H27</f>
        <v>1.5</v>
      </c>
      <c r="J27" s="626"/>
      <c r="K27" s="626"/>
      <c r="L27" s="626"/>
      <c r="M27" s="626"/>
      <c r="N27" s="626"/>
      <c r="O27" s="1026"/>
      <c r="P27" s="626"/>
      <c r="Q27" s="626"/>
      <c r="R27" s="626"/>
      <c r="S27" s="626"/>
    </row>
    <row r="28" spans="1:19" s="25" customFormat="1" x14ac:dyDescent="0.25">
      <c r="A28" s="1019">
        <v>110</v>
      </c>
      <c r="B28" s="1000" t="s">
        <v>444</v>
      </c>
      <c r="C28" s="1000" t="s">
        <v>560</v>
      </c>
      <c r="D28" s="1001">
        <v>0.25</v>
      </c>
      <c r="E28" s="999" t="s">
        <v>32</v>
      </c>
      <c r="F28" s="999">
        <v>2</v>
      </c>
      <c r="G28" s="999"/>
      <c r="H28" s="999">
        <v>1</v>
      </c>
      <c r="I28" s="1001">
        <f>D28*F28*H28</f>
        <v>0.5</v>
      </c>
      <c r="J28" s="626"/>
      <c r="K28" s="626"/>
      <c r="L28" s="626"/>
      <c r="M28" s="626"/>
      <c r="N28" s="626"/>
      <c r="O28" s="1026"/>
      <c r="P28" s="626"/>
      <c r="Q28" s="626"/>
      <c r="R28" s="626"/>
      <c r="S28" s="626"/>
    </row>
    <row r="29" spans="1:19" s="17" customFormat="1" ht="45" x14ac:dyDescent="0.25">
      <c r="A29" s="1019">
        <v>120</v>
      </c>
      <c r="B29" s="271" t="s">
        <v>450</v>
      </c>
      <c r="C29" s="999" t="s">
        <v>451</v>
      </c>
      <c r="D29" s="1005">
        <v>8.75</v>
      </c>
      <c r="E29" s="999" t="s">
        <v>32</v>
      </c>
      <c r="F29" s="999">
        <v>1</v>
      </c>
      <c r="G29" s="999"/>
      <c r="H29" s="999">
        <v>1</v>
      </c>
      <c r="I29" s="1005">
        <f>D29*F29*H29</f>
        <v>8.75</v>
      </c>
      <c r="J29" s="626"/>
      <c r="K29" s="626"/>
      <c r="L29" s="626"/>
      <c r="M29" s="626"/>
      <c r="N29" s="626"/>
      <c r="O29" s="1026"/>
      <c r="P29" s="626"/>
      <c r="Q29" s="626"/>
      <c r="R29" s="626"/>
      <c r="S29" s="626"/>
    </row>
    <row r="30" spans="1:19" x14ac:dyDescent="0.25">
      <c r="A30" s="713"/>
      <c r="B30" s="24"/>
      <c r="C30" s="24"/>
      <c r="D30" s="24"/>
      <c r="E30" s="24"/>
      <c r="F30" s="24"/>
      <c r="G30" s="24"/>
      <c r="H30" s="98" t="s">
        <v>18</v>
      </c>
      <c r="I30" s="985">
        <f>SUM(I18:I29)</f>
        <v>16.329999999999998</v>
      </c>
      <c r="J30" s="56"/>
      <c r="K30" s="56"/>
      <c r="L30" s="56"/>
      <c r="M30" s="56"/>
      <c r="N30" s="56"/>
      <c r="O30" s="259"/>
      <c r="P30" s="17"/>
      <c r="Q30" s="17"/>
      <c r="R30" s="17"/>
      <c r="S30" s="17"/>
    </row>
    <row r="31" spans="1:19" x14ac:dyDescent="0.25">
      <c r="A31" s="699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59"/>
      <c r="P31" s="25"/>
      <c r="Q31" s="25"/>
      <c r="R31" s="25"/>
      <c r="S31" s="25"/>
    </row>
    <row r="32" spans="1:19" x14ac:dyDescent="0.25">
      <c r="A32" s="1023" t="s">
        <v>14</v>
      </c>
      <c r="B32" s="981" t="s">
        <v>36</v>
      </c>
      <c r="C32" s="981" t="s">
        <v>20</v>
      </c>
      <c r="D32" s="981" t="s">
        <v>21</v>
      </c>
      <c r="E32" s="981" t="s">
        <v>22</v>
      </c>
      <c r="F32" s="981" t="s">
        <v>23</v>
      </c>
      <c r="G32" s="981" t="s">
        <v>24</v>
      </c>
      <c r="H32" s="981" t="s">
        <v>25</v>
      </c>
      <c r="I32" s="981" t="s">
        <v>17</v>
      </c>
      <c r="J32" s="981" t="s">
        <v>18</v>
      </c>
      <c r="K32" s="56"/>
      <c r="L32" s="56"/>
      <c r="M32" s="56"/>
      <c r="N32" s="56"/>
      <c r="O32" s="259"/>
      <c r="P32" s="17"/>
      <c r="Q32" s="17"/>
      <c r="R32" s="17"/>
      <c r="S32" s="17"/>
    </row>
    <row r="33" spans="1:15" x14ac:dyDescent="0.25">
      <c r="A33" s="1019">
        <v>10</v>
      </c>
      <c r="B33" s="760" t="s">
        <v>557</v>
      </c>
      <c r="C33" s="650" t="s">
        <v>558</v>
      </c>
      <c r="D33" s="1169">
        <f>0.8/105154*E33^2*G33*SQRT(G33)+(0.003*EXP(0.319*E33))</f>
        <v>8.9628250610286439E-2</v>
      </c>
      <c r="E33" s="988">
        <v>6</v>
      </c>
      <c r="F33" s="1035" t="s">
        <v>30</v>
      </c>
      <c r="G33" s="988">
        <v>40</v>
      </c>
      <c r="H33" s="650" t="s">
        <v>30</v>
      </c>
      <c r="I33" s="1036">
        <v>3</v>
      </c>
      <c r="J33" s="1001">
        <f>D33*I33</f>
        <v>0.2688847518308593</v>
      </c>
      <c r="K33" s="56"/>
      <c r="L33" s="56"/>
      <c r="M33" s="56"/>
      <c r="N33" s="56"/>
      <c r="O33" s="259"/>
    </row>
    <row r="34" spans="1:15" x14ac:dyDescent="0.25">
      <c r="A34" s="988">
        <v>20</v>
      </c>
      <c r="B34" s="1170" t="s">
        <v>298</v>
      </c>
      <c r="C34" s="650" t="s">
        <v>558</v>
      </c>
      <c r="D34" s="1169">
        <f>(0.009*EXP(0.2*E34))</f>
        <v>2.9881052304628931E-2</v>
      </c>
      <c r="E34" s="988">
        <v>6</v>
      </c>
      <c r="F34" s="1035" t="s">
        <v>30</v>
      </c>
      <c r="G34" s="988"/>
      <c r="H34" s="650"/>
      <c r="I34" s="1036">
        <v>3</v>
      </c>
      <c r="J34" s="267">
        <f t="shared" ref="J34:J35" si="2">D34*I34</f>
        <v>8.9643156913886801E-2</v>
      </c>
      <c r="K34" s="56"/>
      <c r="L34" s="56"/>
      <c r="M34" s="56"/>
      <c r="N34" s="56"/>
      <c r="O34" s="259"/>
    </row>
    <row r="35" spans="1:15" x14ac:dyDescent="0.25">
      <c r="A35" s="988">
        <v>30</v>
      </c>
      <c r="B35" s="1170" t="s">
        <v>297</v>
      </c>
      <c r="C35" s="650" t="s">
        <v>558</v>
      </c>
      <c r="D35" s="1169">
        <f>0.01</f>
        <v>0.01</v>
      </c>
      <c r="E35" s="988"/>
      <c r="F35" s="1035" t="s">
        <v>30</v>
      </c>
      <c r="G35" s="988"/>
      <c r="H35" s="650"/>
      <c r="I35" s="1036">
        <v>6</v>
      </c>
      <c r="J35" s="267">
        <f t="shared" si="2"/>
        <v>0.06</v>
      </c>
      <c r="K35" s="56"/>
      <c r="L35" s="56"/>
      <c r="M35" s="56"/>
      <c r="N35" s="56"/>
      <c r="O35" s="259"/>
    </row>
    <row r="36" spans="1:15" x14ac:dyDescent="0.25">
      <c r="A36" s="1019">
        <v>40</v>
      </c>
      <c r="B36" s="760" t="s">
        <v>557</v>
      </c>
      <c r="C36" s="650" t="s">
        <v>559</v>
      </c>
      <c r="D36" s="1169">
        <f>0.8/105154*E36^2*G36*SQRT(G36)+(0.003*EXP(0.319*E36))</f>
        <v>1.8537324430816272E-2</v>
      </c>
      <c r="E36" s="988">
        <v>4</v>
      </c>
      <c r="F36" s="1035" t="s">
        <v>30</v>
      </c>
      <c r="G36" s="988">
        <v>16</v>
      </c>
      <c r="H36" s="650" t="s">
        <v>30</v>
      </c>
      <c r="I36" s="1036">
        <v>1</v>
      </c>
      <c r="J36" s="1001">
        <f>D36*I36</f>
        <v>1.8537324430816272E-2</v>
      </c>
      <c r="K36" s="56"/>
      <c r="L36" s="56"/>
      <c r="M36" s="56"/>
      <c r="N36" s="56"/>
      <c r="O36" s="259"/>
    </row>
    <row r="37" spans="1:15" x14ac:dyDescent="0.25">
      <c r="A37" s="988">
        <v>50</v>
      </c>
      <c r="B37" s="1170" t="s">
        <v>298</v>
      </c>
      <c r="C37" s="650" t="s">
        <v>559</v>
      </c>
      <c r="D37" s="1169">
        <f>(0.009*EXP(0.2*E37))</f>
        <v>2.0029868356432209E-2</v>
      </c>
      <c r="E37" s="988">
        <v>4</v>
      </c>
      <c r="F37" s="1035" t="s">
        <v>30</v>
      </c>
      <c r="G37" s="988"/>
      <c r="H37" s="650"/>
      <c r="I37" s="1036">
        <v>1</v>
      </c>
      <c r="J37" s="267">
        <f t="shared" ref="J37:J38" si="3">D37*I37</f>
        <v>2.0029868356432209E-2</v>
      </c>
      <c r="K37" s="56"/>
      <c r="L37" s="56"/>
      <c r="M37" s="56"/>
      <c r="N37" s="56"/>
      <c r="O37" s="259"/>
    </row>
    <row r="38" spans="1:15" x14ac:dyDescent="0.25">
      <c r="A38" s="988">
        <v>60</v>
      </c>
      <c r="B38" s="1170" t="s">
        <v>297</v>
      </c>
      <c r="C38" s="650" t="s">
        <v>559</v>
      </c>
      <c r="D38" s="1169">
        <f>0.01</f>
        <v>0.01</v>
      </c>
      <c r="E38" s="988"/>
      <c r="F38" s="1035" t="s">
        <v>30</v>
      </c>
      <c r="G38" s="988"/>
      <c r="H38" s="650"/>
      <c r="I38" s="1036">
        <v>2</v>
      </c>
      <c r="J38" s="267">
        <f t="shared" si="3"/>
        <v>0.02</v>
      </c>
      <c r="K38" s="56"/>
      <c r="L38" s="56"/>
      <c r="M38" s="56"/>
      <c r="N38" s="56"/>
      <c r="O38" s="259"/>
    </row>
    <row r="39" spans="1:15" x14ac:dyDescent="0.25">
      <c r="A39" s="1019">
        <v>70</v>
      </c>
      <c r="B39" s="760" t="s">
        <v>557</v>
      </c>
      <c r="C39" s="650" t="s">
        <v>558</v>
      </c>
      <c r="D39" s="1169">
        <f>0.8/105154*E39^2*G39*SQRT(G39)+(0.003*EXP(0.319*E39))</f>
        <v>0.23710232523720945</v>
      </c>
      <c r="E39" s="988">
        <v>8</v>
      </c>
      <c r="F39" s="1035" t="s">
        <v>30</v>
      </c>
      <c r="G39" s="988">
        <v>55</v>
      </c>
      <c r="H39" s="650" t="s">
        <v>30</v>
      </c>
      <c r="I39" s="1036">
        <v>2</v>
      </c>
      <c r="J39" s="1001">
        <f>D39*I39</f>
        <v>0.4742046504744189</v>
      </c>
      <c r="K39" s="56"/>
      <c r="L39" s="56"/>
      <c r="M39" s="56"/>
      <c r="N39" s="56"/>
      <c r="O39" s="259"/>
    </row>
    <row r="40" spans="1:15" x14ac:dyDescent="0.25">
      <c r="A40" s="988">
        <v>80</v>
      </c>
      <c r="B40" s="1170" t="s">
        <v>298</v>
      </c>
      <c r="C40" s="650" t="s">
        <v>558</v>
      </c>
      <c r="D40" s="1169">
        <f>(0.009*EXP(0.2*E40))</f>
        <v>4.4577291819556032E-2</v>
      </c>
      <c r="E40" s="988">
        <v>8</v>
      </c>
      <c r="F40" s="1035" t="s">
        <v>30</v>
      </c>
      <c r="G40" s="988"/>
      <c r="H40" s="650"/>
      <c r="I40" s="1036">
        <v>2</v>
      </c>
      <c r="J40" s="267">
        <f t="shared" ref="J40:J41" si="4">D40*I40</f>
        <v>8.9154583639112064E-2</v>
      </c>
      <c r="K40" s="56"/>
      <c r="L40" s="56"/>
      <c r="M40" s="56"/>
      <c r="N40" s="56"/>
      <c r="O40" s="259"/>
    </row>
    <row r="41" spans="1:15" x14ac:dyDescent="0.25">
      <c r="A41" s="988">
        <v>90</v>
      </c>
      <c r="B41" s="1170" t="s">
        <v>297</v>
      </c>
      <c r="C41" s="650" t="s">
        <v>558</v>
      </c>
      <c r="D41" s="1169">
        <f>0.01</f>
        <v>0.01</v>
      </c>
      <c r="E41" s="988"/>
      <c r="F41" s="1035" t="s">
        <v>30</v>
      </c>
      <c r="G41" s="988"/>
      <c r="H41" s="650"/>
      <c r="I41" s="1036">
        <v>4</v>
      </c>
      <c r="J41" s="267">
        <f t="shared" si="4"/>
        <v>0.04</v>
      </c>
      <c r="K41" s="56"/>
      <c r="L41" s="56"/>
      <c r="M41" s="56"/>
      <c r="N41" s="56"/>
      <c r="O41" s="259"/>
    </row>
    <row r="42" spans="1:15" x14ac:dyDescent="0.25">
      <c r="A42" s="713"/>
      <c r="B42" s="24"/>
      <c r="C42" s="24"/>
      <c r="D42" s="24"/>
      <c r="E42" s="24"/>
      <c r="F42" s="24"/>
      <c r="G42" s="24"/>
      <c r="H42" s="24"/>
      <c r="I42" s="98" t="s">
        <v>18</v>
      </c>
      <c r="J42" s="985">
        <f>SUM(J33:J41)</f>
        <v>1.0804543356455256</v>
      </c>
      <c r="K42" s="56"/>
      <c r="L42" s="56"/>
      <c r="M42" s="56"/>
      <c r="N42" s="56"/>
      <c r="O42" s="259"/>
    </row>
    <row r="43" spans="1:15" x14ac:dyDescent="0.25">
      <c r="A43" s="699"/>
      <c r="B43" s="56"/>
      <c r="C43" s="56"/>
      <c r="D43" s="56"/>
      <c r="E43" s="56"/>
      <c r="F43" s="56"/>
      <c r="G43" s="56"/>
      <c r="H43" s="56"/>
      <c r="I43" s="56"/>
      <c r="J43" s="24"/>
      <c r="K43" s="56"/>
      <c r="L43" s="56"/>
      <c r="M43" s="56"/>
      <c r="N43" s="56"/>
      <c r="O43" s="259"/>
    </row>
    <row r="44" spans="1:15" ht="15.75" thickBot="1" x14ac:dyDescent="0.3">
      <c r="A44" s="279"/>
      <c r="B44" s="280"/>
      <c r="C44" s="280"/>
      <c r="D44" s="280"/>
      <c r="E44" s="280"/>
      <c r="F44" s="280"/>
      <c r="G44" s="280"/>
      <c r="H44" s="280"/>
      <c r="I44" s="280"/>
      <c r="J44" s="280"/>
      <c r="K44" s="280"/>
      <c r="L44" s="280"/>
      <c r="M44" s="280"/>
      <c r="N44" s="280"/>
      <c r="O44" s="281"/>
    </row>
    <row r="45" spans="1:15" x14ac:dyDescent="0.25">
      <c r="A45" s="56"/>
      <c r="B45" s="56"/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N45" s="56"/>
    </row>
  </sheetData>
  <hyperlinks>
    <hyperlink ref="B10" location="SU_11001" display="SU_11001" xr:uid="{00000000-0004-0000-7900-000000000000}"/>
    <hyperlink ref="B12" location="SU_11003" display="Speed Sensor Brakcet" xr:uid="{00000000-0004-0000-7900-000001000000}"/>
    <hyperlink ref="B13" location="SU_11004" display="Camber adjustment shim" xr:uid="{00000000-0004-0000-7900-000002000000}"/>
    <hyperlink ref="B11" location="SU_11002" display="Upper Arm Bracket" xr:uid="{00000000-0004-0000-7900-000003000000}"/>
    <hyperlink ref="E2" location="SU_A1100_BOM" display="Back to BOM" xr:uid="{00000000-0004-0000-79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9" firstPageNumber="0" fitToHeight="99" orientation="landscape" r:id="rId1"/>
  <headerFooter>
    <oddFooter>Page &amp;P</oddFooter>
  </headerFooter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sheetPr>
    <tabColor rgb="FFFFFF66"/>
    <pageSetUpPr fitToPage="1"/>
  </sheetPr>
  <dimension ref="A1:O34"/>
  <sheetViews>
    <sheetView topLeftCell="A8" zoomScaleNormal="10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9.5703125" customWidth="1"/>
    <col min="3" max="3" width="20.28515625" customWidth="1"/>
    <col min="7" max="7" width="18.28515625" customWidth="1"/>
    <col min="9" max="9" width="9" customWidth="1"/>
    <col min="14" max="14" width="12.5703125" bestFit="1" customWidth="1"/>
    <col min="15" max="15" width="3.140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0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SU_11001_m+SU_11001_p</f>
        <v>106.51997000000001</v>
      </c>
      <c r="O2" s="259"/>
    </row>
    <row r="3" spans="1:15" x14ac:dyDescent="0.25">
      <c r="A3" s="1009" t="s">
        <v>3</v>
      </c>
      <c r="B3" s="16" t="str">
        <f>'SU A1100 '!B3</f>
        <v>Wheels &amp; Tires</v>
      </c>
      <c r="C3" s="56"/>
      <c r="D3" s="989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259"/>
    </row>
    <row r="4" spans="1:15" x14ac:dyDescent="0.25">
      <c r="A4" s="1009" t="s">
        <v>5</v>
      </c>
      <c r="B4" s="266" t="str">
        <f>'SU A1100 '!B4</f>
        <v>Rear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259"/>
    </row>
    <row r="5" spans="1:15" x14ac:dyDescent="0.25">
      <c r="A5" s="1009" t="s">
        <v>15</v>
      </c>
      <c r="B5" s="18" t="s">
        <v>499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106.51997000000001</v>
      </c>
      <c r="O5" s="259"/>
    </row>
    <row r="6" spans="1:15" x14ac:dyDescent="0.25">
      <c r="A6" s="1009" t="s">
        <v>7</v>
      </c>
      <c r="B6" s="28" t="s">
        <v>500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259"/>
    </row>
    <row r="7" spans="1:15" x14ac:dyDescent="0.25">
      <c r="A7" s="100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1009" t="s">
        <v>13</v>
      </c>
      <c r="B8" s="16" t="s">
        <v>454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1010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1011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259"/>
    </row>
    <row r="11" spans="1:15" s="22" customFormat="1" x14ac:dyDescent="0.25">
      <c r="A11" s="1012">
        <v>10</v>
      </c>
      <c r="B11" s="659" t="s">
        <v>455</v>
      </c>
      <c r="C11" s="20"/>
      <c r="D11" s="272">
        <v>4.2</v>
      </c>
      <c r="E11" s="995">
        <f>J11*K11*L11</f>
        <v>6.1528499999999999</v>
      </c>
      <c r="F11" s="20" t="s">
        <v>141</v>
      </c>
      <c r="G11" s="20"/>
      <c r="H11" s="273"/>
      <c r="I11" s="21" t="s">
        <v>456</v>
      </c>
      <c r="J11" s="996">
        <f>(165*275*10^-6)</f>
        <v>4.5374999999999999E-2</v>
      </c>
      <c r="K11" s="662">
        <v>0.05</v>
      </c>
      <c r="L11" s="663">
        <v>2712</v>
      </c>
      <c r="M11" s="23">
        <v>1</v>
      </c>
      <c r="N11" s="272">
        <f>D11*E11</f>
        <v>25.84197</v>
      </c>
      <c r="O11" s="712"/>
    </row>
    <row r="12" spans="1:15" x14ac:dyDescent="0.25">
      <c r="A12" s="713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25.84197</v>
      </c>
      <c r="O12" s="259"/>
    </row>
    <row r="13" spans="1:15" x14ac:dyDescent="0.25">
      <c r="A13" s="699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59"/>
    </row>
    <row r="14" spans="1:15" x14ac:dyDescent="0.25">
      <c r="A14" s="1013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259"/>
    </row>
    <row r="15" spans="1:15" s="25" customFormat="1" ht="30" x14ac:dyDescent="0.25">
      <c r="A15" s="1019">
        <v>10</v>
      </c>
      <c r="B15" s="1000" t="s">
        <v>457</v>
      </c>
      <c r="C15" s="1000" t="s">
        <v>458</v>
      </c>
      <c r="D15" s="1020">
        <v>1.3</v>
      </c>
      <c r="E15" s="999" t="s">
        <v>32</v>
      </c>
      <c r="F15" s="999">
        <v>1</v>
      </c>
      <c r="G15" s="999"/>
      <c r="H15" s="999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14"/>
    </row>
    <row r="16" spans="1:15" ht="30" x14ac:dyDescent="0.25">
      <c r="A16" s="1019">
        <v>20</v>
      </c>
      <c r="B16" s="1000" t="s">
        <v>92</v>
      </c>
      <c r="C16" s="1000" t="s">
        <v>501</v>
      </c>
      <c r="D16" s="1020">
        <v>0.04</v>
      </c>
      <c r="E16" s="999" t="s">
        <v>93</v>
      </c>
      <c r="F16" s="999">
        <v>350</v>
      </c>
      <c r="G16" s="999" t="s">
        <v>193</v>
      </c>
      <c r="H16" s="999">
        <v>1</v>
      </c>
      <c r="I16" s="32">
        <f t="shared" si="0"/>
        <v>14</v>
      </c>
      <c r="J16" s="56"/>
      <c r="K16" s="56"/>
      <c r="L16" s="56"/>
      <c r="M16" s="56"/>
      <c r="N16" s="56"/>
      <c r="O16" s="259"/>
    </row>
    <row r="17" spans="1:15" s="17" customFormat="1" ht="30" x14ac:dyDescent="0.25">
      <c r="A17" s="1019">
        <v>30</v>
      </c>
      <c r="B17" s="1000" t="s">
        <v>91</v>
      </c>
      <c r="C17" s="1000" t="s">
        <v>460</v>
      </c>
      <c r="D17" s="1020">
        <v>0.65</v>
      </c>
      <c r="E17" s="999" t="s">
        <v>32</v>
      </c>
      <c r="F17" s="999">
        <v>1</v>
      </c>
      <c r="G17" s="999"/>
      <c r="H17" s="999">
        <v>1</v>
      </c>
      <c r="I17" s="32">
        <f t="shared" si="0"/>
        <v>0.65</v>
      </c>
      <c r="J17" s="57"/>
      <c r="K17" s="57"/>
      <c r="L17" s="57"/>
      <c r="M17" s="57"/>
      <c r="N17" s="57"/>
      <c r="O17" s="717"/>
    </row>
    <row r="18" spans="1:15" s="17" customFormat="1" ht="30" x14ac:dyDescent="0.25">
      <c r="A18" s="1019">
        <v>40</v>
      </c>
      <c r="B18" s="1000" t="s">
        <v>92</v>
      </c>
      <c r="C18" s="1000" t="s">
        <v>502</v>
      </c>
      <c r="D18" s="1020">
        <v>0.04</v>
      </c>
      <c r="E18" s="999" t="s">
        <v>93</v>
      </c>
      <c r="F18" s="999">
        <v>1285</v>
      </c>
      <c r="G18" s="999" t="s">
        <v>193</v>
      </c>
      <c r="H18" s="999">
        <v>1</v>
      </c>
      <c r="I18" s="32">
        <f t="shared" si="0"/>
        <v>51.4</v>
      </c>
      <c r="J18" s="57"/>
      <c r="K18" s="57"/>
      <c r="L18" s="57"/>
      <c r="M18" s="57"/>
      <c r="N18" s="57"/>
      <c r="O18" s="717"/>
    </row>
    <row r="19" spans="1:15" s="17" customFormat="1" ht="30" x14ac:dyDescent="0.25">
      <c r="A19" s="1019">
        <v>50</v>
      </c>
      <c r="B19" s="1000" t="s">
        <v>91</v>
      </c>
      <c r="C19" s="1000"/>
      <c r="D19" s="1020">
        <v>0.65</v>
      </c>
      <c r="E19" s="999" t="s">
        <v>32</v>
      </c>
      <c r="F19" s="999">
        <v>1</v>
      </c>
      <c r="G19" s="999"/>
      <c r="H19" s="999">
        <v>1</v>
      </c>
      <c r="I19" s="32">
        <f t="shared" si="0"/>
        <v>0.65</v>
      </c>
      <c r="J19" s="57"/>
      <c r="K19" s="57"/>
      <c r="L19" s="57"/>
      <c r="M19" s="57"/>
      <c r="N19" s="57"/>
      <c r="O19" s="717"/>
    </row>
    <row r="20" spans="1:15" s="17" customFormat="1" ht="30" x14ac:dyDescent="0.25">
      <c r="A20" s="1019">
        <v>60</v>
      </c>
      <c r="B20" s="1000" t="s">
        <v>92</v>
      </c>
      <c r="C20" s="1000" t="s">
        <v>503</v>
      </c>
      <c r="D20" s="1020">
        <v>0.04</v>
      </c>
      <c r="E20" s="999" t="s">
        <v>93</v>
      </c>
      <c r="F20" s="999">
        <v>227</v>
      </c>
      <c r="G20" s="999" t="s">
        <v>193</v>
      </c>
      <c r="H20" s="999">
        <v>1</v>
      </c>
      <c r="I20" s="32">
        <f t="shared" si="0"/>
        <v>9.08</v>
      </c>
      <c r="J20" s="57"/>
      <c r="K20" s="57"/>
      <c r="L20" s="57"/>
      <c r="M20" s="57"/>
      <c r="N20" s="57"/>
      <c r="O20" s="717"/>
    </row>
    <row r="21" spans="1:15" s="17" customFormat="1" ht="30" x14ac:dyDescent="0.25">
      <c r="A21" s="1019">
        <v>70</v>
      </c>
      <c r="B21" s="1000" t="s">
        <v>91</v>
      </c>
      <c r="C21" s="1000"/>
      <c r="D21" s="1020">
        <v>0.65</v>
      </c>
      <c r="E21" s="999" t="s">
        <v>32</v>
      </c>
      <c r="F21" s="999">
        <v>1</v>
      </c>
      <c r="G21" s="999"/>
      <c r="H21" s="999">
        <v>1</v>
      </c>
      <c r="I21" s="32">
        <f t="shared" si="0"/>
        <v>0.65</v>
      </c>
      <c r="J21" s="57"/>
      <c r="K21" s="57"/>
      <c r="L21" s="57"/>
      <c r="M21" s="57"/>
      <c r="N21" s="57"/>
      <c r="O21" s="717"/>
    </row>
    <row r="22" spans="1:15" ht="30" x14ac:dyDescent="0.25">
      <c r="A22" s="1019">
        <v>80</v>
      </c>
      <c r="B22" s="1000" t="s">
        <v>92</v>
      </c>
      <c r="C22" s="1000" t="s">
        <v>504</v>
      </c>
      <c r="D22" s="1020">
        <v>0.04</v>
      </c>
      <c r="E22" s="999" t="s">
        <v>93</v>
      </c>
      <c r="F22" s="999">
        <v>1.2</v>
      </c>
      <c r="G22" s="999" t="s">
        <v>193</v>
      </c>
      <c r="H22" s="999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59"/>
    </row>
    <row r="23" spans="1:15" ht="30" x14ac:dyDescent="0.25">
      <c r="A23" s="1019">
        <v>90</v>
      </c>
      <c r="B23" s="1000" t="s">
        <v>91</v>
      </c>
      <c r="C23" s="1000"/>
      <c r="D23" s="1020">
        <v>0.65</v>
      </c>
      <c r="E23" s="999" t="s">
        <v>32</v>
      </c>
      <c r="F23" s="999">
        <v>1</v>
      </c>
      <c r="G23" s="999"/>
      <c r="H23" s="999">
        <v>1</v>
      </c>
      <c r="I23" s="32">
        <f t="shared" si="0"/>
        <v>0.65</v>
      </c>
      <c r="J23" s="56"/>
      <c r="K23" s="56"/>
      <c r="L23" s="56"/>
      <c r="M23" s="56"/>
      <c r="N23" s="56"/>
      <c r="O23" s="259"/>
    </row>
    <row r="24" spans="1:15" ht="30" x14ac:dyDescent="0.25">
      <c r="A24" s="1019">
        <v>100</v>
      </c>
      <c r="B24" s="1000" t="s">
        <v>92</v>
      </c>
      <c r="C24" s="1000" t="s">
        <v>464</v>
      </c>
      <c r="D24" s="1020">
        <v>0.04</v>
      </c>
      <c r="E24" s="999" t="s">
        <v>93</v>
      </c>
      <c r="F24" s="999">
        <v>24</v>
      </c>
      <c r="G24" s="999" t="s">
        <v>193</v>
      </c>
      <c r="H24" s="999">
        <v>1</v>
      </c>
      <c r="I24" s="32">
        <f t="shared" si="0"/>
        <v>0.96</v>
      </c>
      <c r="J24" s="56"/>
      <c r="K24" s="56"/>
      <c r="L24" s="56"/>
      <c r="M24" s="56"/>
      <c r="N24" s="56"/>
      <c r="O24" s="259"/>
    </row>
    <row r="25" spans="1:15" ht="30" x14ac:dyDescent="0.25">
      <c r="A25" s="1019">
        <v>110</v>
      </c>
      <c r="B25" s="1000" t="s">
        <v>91</v>
      </c>
      <c r="C25" s="1000"/>
      <c r="D25" s="1020">
        <v>0.65</v>
      </c>
      <c r="E25" s="999" t="s">
        <v>32</v>
      </c>
      <c r="F25" s="999">
        <v>1</v>
      </c>
      <c r="G25" s="999"/>
      <c r="H25" s="999">
        <v>1</v>
      </c>
      <c r="I25" s="32">
        <f t="shared" si="0"/>
        <v>0.65</v>
      </c>
      <c r="J25" s="56"/>
      <c r="K25" s="56"/>
      <c r="L25" s="56"/>
      <c r="M25" s="56"/>
      <c r="N25" s="56"/>
      <c r="O25" s="259"/>
    </row>
    <row r="26" spans="1:15" ht="30" x14ac:dyDescent="0.25">
      <c r="A26" s="1019">
        <v>120</v>
      </c>
      <c r="B26" s="1000" t="s">
        <v>92</v>
      </c>
      <c r="C26" s="1000" t="s">
        <v>465</v>
      </c>
      <c r="D26" s="1020">
        <v>0.04</v>
      </c>
      <c r="E26" s="999" t="s">
        <v>93</v>
      </c>
      <c r="F26" s="999">
        <v>16</v>
      </c>
      <c r="G26" s="999" t="s">
        <v>193</v>
      </c>
      <c r="H26" s="999">
        <v>1</v>
      </c>
      <c r="I26" s="32">
        <f t="shared" si="0"/>
        <v>0.64</v>
      </c>
      <c r="J26" s="56"/>
      <c r="K26" s="56"/>
      <c r="L26" s="56"/>
      <c r="M26" s="56"/>
      <c r="N26" s="56"/>
      <c r="O26" s="259"/>
    </row>
    <row r="27" spans="1:15" ht="30" x14ac:dyDescent="0.25">
      <c r="A27" s="1019">
        <v>130</v>
      </c>
      <c r="B27" s="1034" t="s">
        <v>307</v>
      </c>
      <c r="C27" s="1000" t="s">
        <v>505</v>
      </c>
      <c r="D27" s="1020">
        <v>0.35</v>
      </c>
      <c r="E27" s="999" t="s">
        <v>506</v>
      </c>
      <c r="F27" s="999">
        <v>1</v>
      </c>
      <c r="G27" s="999" t="s">
        <v>193</v>
      </c>
      <c r="H27" s="999">
        <v>1</v>
      </c>
      <c r="I27" s="1041">
        <f t="shared" si="0"/>
        <v>0.35</v>
      </c>
      <c r="J27" s="56"/>
      <c r="K27" s="56"/>
      <c r="L27" s="56"/>
      <c r="M27" s="56"/>
      <c r="N27" s="56"/>
      <c r="O27" s="259"/>
    </row>
    <row r="28" spans="1:15" x14ac:dyDescent="0.25">
      <c r="A28" s="713"/>
      <c r="B28" s="24"/>
      <c r="C28" s="24"/>
      <c r="D28" s="24"/>
      <c r="E28" s="24"/>
      <c r="F28" s="24"/>
      <c r="G28" s="24"/>
      <c r="H28" s="108" t="s">
        <v>18</v>
      </c>
      <c r="I28" s="997">
        <f>SUM(I15:I26)</f>
        <v>80.678000000000011</v>
      </c>
      <c r="J28" s="56"/>
      <c r="K28" s="56"/>
      <c r="L28" s="56"/>
      <c r="M28" s="56"/>
      <c r="N28" s="56"/>
      <c r="O28" s="259"/>
    </row>
    <row r="29" spans="1:15" x14ac:dyDescent="0.25">
      <c r="A29" s="699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59"/>
    </row>
    <row r="30" spans="1:15" x14ac:dyDescent="0.25">
      <c r="A30" s="699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59"/>
    </row>
    <row r="31" spans="1:15" x14ac:dyDescent="0.25">
      <c r="A31" s="699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59"/>
    </row>
    <row r="32" spans="1:15" x14ac:dyDescent="0.25">
      <c r="A32" s="699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59"/>
    </row>
    <row r="33" spans="1:15" x14ac:dyDescent="0.25">
      <c r="A33" s="699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59"/>
    </row>
    <row r="34" spans="1:15" ht="15.75" thickBot="1" x14ac:dyDescent="0.3">
      <c r="A34" s="279"/>
      <c r="B34" s="280"/>
      <c r="C34" s="280"/>
      <c r="D34" s="280"/>
      <c r="E34" s="280"/>
      <c r="F34" s="280"/>
      <c r="G34" s="280"/>
      <c r="H34" s="280"/>
      <c r="I34" s="280"/>
      <c r="J34" s="280"/>
      <c r="K34" s="280"/>
      <c r="L34" s="280"/>
      <c r="M34" s="280"/>
      <c r="N34" s="280"/>
      <c r="O34" s="281"/>
    </row>
  </sheetData>
  <hyperlinks>
    <hyperlink ref="E3" location="dSU_11001" display="Drawing" xr:uid="{00000000-0004-0000-7A00-000000000000}"/>
    <hyperlink ref="B4" location="SU_A1100" display="SU_A1100" xr:uid="{00000000-0004-0000-7A00-000001000000}"/>
    <hyperlink ref="G2" location="SU_A1100_BOM" display="Back to BOM" xr:uid="{00000000-0004-0000-7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5" max="16383" man="1"/>
  </row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0-000000000000}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513</v>
      </c>
    </row>
  </sheetData>
  <hyperlinks>
    <hyperlink ref="B1" location="SU_11001" display="SU_11001" xr:uid="{00000000-0004-0000-7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0-000000000000}">
  <sheetPr>
    <tabColor rgb="FFFFFF66"/>
    <pageSetUpPr fitToPage="1"/>
  </sheetPr>
  <dimension ref="A1:O25"/>
  <sheetViews>
    <sheetView zoomScaleNormal="100" zoomScalePageLayoutView="70" workbookViewId="0">
      <selection activeCell="G2" sqref="G2"/>
    </sheetView>
  </sheetViews>
  <sheetFormatPr baseColWidth="10" defaultColWidth="9.140625" defaultRowHeight="15" x14ac:dyDescent="0.25"/>
  <cols>
    <col min="2" max="2" width="22.85546875" customWidth="1"/>
    <col min="3" max="3" width="25.28515625" customWidth="1"/>
    <col min="7" max="7" width="14.42578125" customWidth="1"/>
    <col min="9" max="9" width="14.28515625" customWidth="1"/>
    <col min="14" max="14" width="12.5703125" bestFit="1" customWidth="1"/>
    <col min="15" max="15" width="3.140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0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SU_11002_m+SU_11002_p</f>
        <v>21.194420000000001</v>
      </c>
      <c r="O2" s="259"/>
    </row>
    <row r="3" spans="1:15" x14ac:dyDescent="0.25">
      <c r="A3" s="1009" t="s">
        <v>3</v>
      </c>
      <c r="B3" s="16" t="str">
        <f>'SU A1100 '!B3</f>
        <v>Wheels &amp; Tires</v>
      </c>
      <c r="C3" s="56"/>
      <c r="D3" s="989" t="s">
        <v>6</v>
      </c>
      <c r="E3" s="266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259"/>
    </row>
    <row r="4" spans="1:15" x14ac:dyDescent="0.25">
      <c r="A4" s="1009" t="s">
        <v>5</v>
      </c>
      <c r="B4" s="266" t="str">
        <f>'SU A1100 '!B4</f>
        <v>Rear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259"/>
    </row>
    <row r="5" spans="1:15" x14ac:dyDescent="0.25">
      <c r="A5" s="1009" t="s">
        <v>15</v>
      </c>
      <c r="B5" s="18" t="s">
        <v>434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21.194420000000001</v>
      </c>
      <c r="O5" s="259"/>
    </row>
    <row r="6" spans="1:15" x14ac:dyDescent="0.25">
      <c r="A6" s="1009" t="s">
        <v>7</v>
      </c>
      <c r="B6" s="28" t="s">
        <v>507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259"/>
    </row>
    <row r="7" spans="1:15" x14ac:dyDescent="0.25">
      <c r="A7" s="100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1009" t="s">
        <v>13</v>
      </c>
      <c r="B8" s="16" t="s">
        <v>475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1010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1011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259"/>
    </row>
    <row r="11" spans="1:15" s="22" customFormat="1" ht="45" x14ac:dyDescent="0.25">
      <c r="A11" s="1015">
        <v>10</v>
      </c>
      <c r="B11" s="962" t="s">
        <v>476</v>
      </c>
      <c r="C11" s="963"/>
      <c r="D11" s="32">
        <v>2.25</v>
      </c>
      <c r="E11" s="1016">
        <f>J11*K11*L11</f>
        <v>1.4695199999999999</v>
      </c>
      <c r="F11" s="963" t="s">
        <v>141</v>
      </c>
      <c r="G11" s="963"/>
      <c r="H11" s="965"/>
      <c r="I11" s="824" t="s">
        <v>477</v>
      </c>
      <c r="J11" s="1017">
        <f>0.05*0.072</f>
        <v>3.5999999999999999E-3</v>
      </c>
      <c r="K11" s="1018">
        <v>5.1999999999999998E-2</v>
      </c>
      <c r="L11" s="975">
        <v>7850</v>
      </c>
      <c r="M11" s="976">
        <v>1</v>
      </c>
      <c r="N11" s="32">
        <f>D11*E11</f>
        <v>3.3064199999999997</v>
      </c>
      <c r="O11" s="712"/>
    </row>
    <row r="12" spans="1:15" x14ac:dyDescent="0.25">
      <c r="A12" s="713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3.3064199999999997</v>
      </c>
      <c r="O12" s="259"/>
    </row>
    <row r="13" spans="1:15" x14ac:dyDescent="0.25">
      <c r="A13" s="699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59"/>
    </row>
    <row r="14" spans="1:15" x14ac:dyDescent="0.25">
      <c r="A14" s="1013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259"/>
    </row>
    <row r="15" spans="1:15" s="25" customFormat="1" ht="30" x14ac:dyDescent="0.25">
      <c r="A15" s="1019">
        <v>10</v>
      </c>
      <c r="B15" s="1000" t="s">
        <v>457</v>
      </c>
      <c r="C15" s="1000" t="s">
        <v>458</v>
      </c>
      <c r="D15" s="1020">
        <v>1.3</v>
      </c>
      <c r="E15" s="999" t="s">
        <v>32</v>
      </c>
      <c r="F15" s="999">
        <v>1</v>
      </c>
      <c r="G15" s="999"/>
      <c r="H15" s="999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14"/>
    </row>
    <row r="16" spans="1:15" ht="30" x14ac:dyDescent="0.25">
      <c r="A16" s="1019">
        <v>20</v>
      </c>
      <c r="B16" s="1000" t="s">
        <v>92</v>
      </c>
      <c r="C16" s="1000" t="s">
        <v>478</v>
      </c>
      <c r="D16" s="1020">
        <v>0.04</v>
      </c>
      <c r="E16" s="999" t="s">
        <v>93</v>
      </c>
      <c r="F16" s="999">
        <v>102</v>
      </c>
      <c r="G16" s="999" t="s">
        <v>339</v>
      </c>
      <c r="H16" s="999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59"/>
    </row>
    <row r="17" spans="1:15" s="17" customFormat="1" ht="30" x14ac:dyDescent="0.25">
      <c r="A17" s="1019">
        <v>30</v>
      </c>
      <c r="B17" s="1000" t="s">
        <v>91</v>
      </c>
      <c r="C17" s="1000" t="s">
        <v>460</v>
      </c>
      <c r="D17" s="1020">
        <v>0.65</v>
      </c>
      <c r="E17" s="999" t="s">
        <v>32</v>
      </c>
      <c r="F17" s="999">
        <v>1</v>
      </c>
      <c r="G17" s="999"/>
      <c r="H17" s="999">
        <v>1</v>
      </c>
      <c r="I17" s="32">
        <f t="shared" si="0"/>
        <v>0.65</v>
      </c>
      <c r="J17" s="57"/>
      <c r="K17" s="57"/>
      <c r="L17" s="57"/>
      <c r="M17" s="57"/>
      <c r="N17" s="57"/>
      <c r="O17" s="717"/>
    </row>
    <row r="18" spans="1:15" s="17" customFormat="1" ht="30" x14ac:dyDescent="0.25">
      <c r="A18" s="1019">
        <v>40</v>
      </c>
      <c r="B18" s="1000" t="s">
        <v>92</v>
      </c>
      <c r="C18" s="1000" t="s">
        <v>479</v>
      </c>
      <c r="D18" s="1020">
        <v>0.04</v>
      </c>
      <c r="E18" s="999" t="s">
        <v>93</v>
      </c>
      <c r="F18" s="999">
        <v>25.2</v>
      </c>
      <c r="G18" s="999" t="s">
        <v>339</v>
      </c>
      <c r="H18" s="999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17"/>
    </row>
    <row r="19" spans="1:15" s="17" customFormat="1" ht="30" x14ac:dyDescent="0.25">
      <c r="A19" s="1019">
        <v>50</v>
      </c>
      <c r="B19" s="1000" t="s">
        <v>91</v>
      </c>
      <c r="C19" s="1000" t="s">
        <v>460</v>
      </c>
      <c r="D19" s="1020">
        <v>0.65</v>
      </c>
      <c r="E19" s="999" t="s">
        <v>32</v>
      </c>
      <c r="F19" s="999">
        <v>1</v>
      </c>
      <c r="G19" s="999"/>
      <c r="H19" s="999">
        <v>1</v>
      </c>
      <c r="I19" s="32">
        <f t="shared" si="0"/>
        <v>0.65</v>
      </c>
      <c r="J19" s="57"/>
      <c r="K19" s="57"/>
      <c r="L19" s="57"/>
      <c r="M19" s="57"/>
      <c r="N19" s="57"/>
      <c r="O19" s="717"/>
    </row>
    <row r="20" spans="1:15" s="17" customFormat="1" ht="30" x14ac:dyDescent="0.25">
      <c r="A20" s="1019">
        <v>60</v>
      </c>
      <c r="B20" s="1000" t="s">
        <v>92</v>
      </c>
      <c r="C20" s="1000" t="s">
        <v>480</v>
      </c>
      <c r="D20" s="1020">
        <v>0.04</v>
      </c>
      <c r="E20" s="999" t="s">
        <v>93</v>
      </c>
      <c r="F20" s="999">
        <v>0.2</v>
      </c>
      <c r="G20" s="999" t="s">
        <v>339</v>
      </c>
      <c r="H20" s="999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17"/>
    </row>
    <row r="21" spans="1:15" ht="30" x14ac:dyDescent="0.25">
      <c r="A21" s="1019">
        <v>70</v>
      </c>
      <c r="B21" s="1000" t="s">
        <v>91</v>
      </c>
      <c r="C21" s="1000" t="s">
        <v>460</v>
      </c>
      <c r="D21" s="1020">
        <v>0.65</v>
      </c>
      <c r="E21" s="999" t="s">
        <v>32</v>
      </c>
      <c r="F21" s="999">
        <v>1</v>
      </c>
      <c r="G21" s="999"/>
      <c r="H21" s="999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59"/>
    </row>
    <row r="22" spans="1:15" ht="30" x14ac:dyDescent="0.25">
      <c r="A22" s="1019">
        <v>80</v>
      </c>
      <c r="B22" s="1000" t="s">
        <v>92</v>
      </c>
      <c r="C22" s="1000" t="s">
        <v>481</v>
      </c>
      <c r="D22" s="1020">
        <v>0.04</v>
      </c>
      <c r="E22" s="999" t="s">
        <v>93</v>
      </c>
      <c r="F22" s="999">
        <v>3.56</v>
      </c>
      <c r="G22" s="999" t="s">
        <v>339</v>
      </c>
      <c r="H22" s="999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59"/>
    </row>
    <row r="23" spans="1:15" x14ac:dyDescent="0.25">
      <c r="A23" s="699"/>
      <c r="B23" s="56"/>
      <c r="C23" s="56"/>
      <c r="D23" s="56"/>
      <c r="E23" s="56"/>
      <c r="F23" s="56"/>
      <c r="G23" s="56"/>
      <c r="H23" s="105" t="s">
        <v>18</v>
      </c>
      <c r="I23" s="1030">
        <f>SUM(I15:I20)</f>
        <v>17.888000000000002</v>
      </c>
      <c r="J23" s="56"/>
      <c r="K23" s="56"/>
      <c r="L23" s="56"/>
      <c r="M23" s="56"/>
      <c r="N23" s="56"/>
      <c r="O23" s="259"/>
    </row>
    <row r="24" spans="1:15" s="56" customFormat="1" x14ac:dyDescent="0.25">
      <c r="A24" s="699"/>
      <c r="O24" s="259"/>
    </row>
    <row r="25" spans="1:15" ht="15.75" thickBot="1" x14ac:dyDescent="0.3">
      <c r="A25" s="279"/>
      <c r="B25" s="280"/>
      <c r="C25" s="280"/>
      <c r="D25" s="280"/>
      <c r="E25" s="280"/>
      <c r="F25" s="280"/>
      <c r="G25" s="280"/>
      <c r="H25" s="280"/>
      <c r="I25" s="280"/>
      <c r="J25" s="280"/>
      <c r="K25" s="280"/>
      <c r="L25" s="280"/>
      <c r="M25" s="280"/>
      <c r="N25" s="280"/>
      <c r="O25" s="281"/>
    </row>
  </sheetData>
  <hyperlinks>
    <hyperlink ref="E3" location="dSU_11002" display="Drawing" xr:uid="{00000000-0004-0000-7C00-000000000000}"/>
    <hyperlink ref="G2" location="SU_A1100_BOM" display="Back to BOM" xr:uid="{00000000-0004-0000-7C00-000001000000}"/>
    <hyperlink ref="B4" location="SU_A1100" display="SU_A1100" xr:uid="{00000000-0004-0000-7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1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0" t="s">
        <v>514</v>
      </c>
    </row>
  </sheetData>
  <hyperlinks>
    <hyperlink ref="B1" location="SU_11002" display="SU_11002" xr:uid="{00000000-0004-0000-7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0-000000000000}">
  <sheetPr>
    <tabColor rgb="FFFFFF66"/>
    <pageSetUpPr fitToPage="1"/>
  </sheetPr>
  <dimension ref="A1:O19"/>
  <sheetViews>
    <sheetView zoomScaleNormal="100" zoomScalePageLayoutView="70" workbookViewId="0">
      <selection activeCell="L20" sqref="L20"/>
    </sheetView>
  </sheetViews>
  <sheetFormatPr baseColWidth="10" defaultColWidth="9.140625" defaultRowHeight="15" x14ac:dyDescent="0.25"/>
  <cols>
    <col min="2" max="2" width="17.85546875" customWidth="1"/>
    <col min="3" max="3" width="13.42578125" customWidth="1"/>
    <col min="7" max="7" width="10.7109375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8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N12+SU_11003_p</f>
        <v>0.82576020000000006</v>
      </c>
      <c r="O2" s="62"/>
    </row>
    <row r="3" spans="1:15" x14ac:dyDescent="0.25">
      <c r="A3" s="989" t="s">
        <v>3</v>
      </c>
      <c r="B3" s="16" t="str">
        <f>'SU A1100 '!B3</f>
        <v>Wheels &amp; Tires</v>
      </c>
      <c r="C3" s="56"/>
      <c r="D3" s="98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</v>
      </c>
      <c r="O3" s="62"/>
    </row>
    <row r="4" spans="1:15" x14ac:dyDescent="0.25">
      <c r="A4" s="989" t="s">
        <v>5</v>
      </c>
      <c r="B4" s="266" t="str">
        <f>'SU A1100 '!B4</f>
        <v>Rear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62"/>
    </row>
    <row r="5" spans="1:15" x14ac:dyDescent="0.25">
      <c r="A5" s="989" t="s">
        <v>15</v>
      </c>
      <c r="B5" s="18" t="s">
        <v>482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0.82576020000000006</v>
      </c>
      <c r="O5" s="62"/>
    </row>
    <row r="6" spans="1:15" x14ac:dyDescent="0.25">
      <c r="A6" s="989" t="s">
        <v>7</v>
      </c>
      <c r="B6" s="28" t="s">
        <v>508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62"/>
    </row>
    <row r="7" spans="1:15" x14ac:dyDescent="0.25">
      <c r="A7" s="98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89" t="s">
        <v>13</v>
      </c>
      <c r="B8" s="16" t="s">
        <v>484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2"/>
    </row>
    <row r="11" spans="1:15" s="22" customFormat="1" x14ac:dyDescent="0.25">
      <c r="A11" s="951">
        <v>10</v>
      </c>
      <c r="B11" s="659" t="s">
        <v>301</v>
      </c>
      <c r="C11" s="20"/>
      <c r="D11" s="272">
        <v>2.25</v>
      </c>
      <c r="E11" s="995">
        <f>J11*K11*L11</f>
        <v>9.6711999999999996E-3</v>
      </c>
      <c r="F11" s="20" t="s">
        <v>141</v>
      </c>
      <c r="G11" s="20"/>
      <c r="H11" s="273"/>
      <c r="I11" s="21" t="s">
        <v>509</v>
      </c>
      <c r="J11" s="996">
        <f>(22*56*10^(-6))</f>
        <v>1.232E-3</v>
      </c>
      <c r="K11" s="662">
        <v>1E-3</v>
      </c>
      <c r="L11" s="663">
        <v>7850</v>
      </c>
      <c r="M11" s="23">
        <v>1</v>
      </c>
      <c r="N11" s="272">
        <f>D11*E11</f>
        <v>2.17602E-2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2.17602E-2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37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62"/>
    </row>
    <row r="15" spans="1:15" s="25" customFormat="1" ht="45" customHeight="1" x14ac:dyDescent="0.25">
      <c r="A15" s="999">
        <v>10</v>
      </c>
      <c r="B15" s="1000" t="s">
        <v>457</v>
      </c>
      <c r="C15" s="1000" t="s">
        <v>471</v>
      </c>
      <c r="D15" s="1020">
        <v>1.3</v>
      </c>
      <c r="E15" s="999" t="s">
        <v>32</v>
      </c>
      <c r="F15" s="999">
        <v>1</v>
      </c>
      <c r="G15" s="999" t="s">
        <v>486</v>
      </c>
      <c r="H15" s="999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25">
      <c r="A16" s="999">
        <v>20</v>
      </c>
      <c r="B16" s="1000" t="s">
        <v>347</v>
      </c>
      <c r="C16" s="1000"/>
      <c r="D16" s="1020">
        <v>0.01</v>
      </c>
      <c r="E16" s="999" t="s">
        <v>40</v>
      </c>
      <c r="F16" s="999">
        <v>15.4</v>
      </c>
      <c r="G16" s="658"/>
      <c r="H16" s="1042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25">
      <c r="A17" s="999">
        <v>30</v>
      </c>
      <c r="B17" s="1000" t="s">
        <v>487</v>
      </c>
      <c r="C17" s="1000"/>
      <c r="D17" s="1001">
        <v>0.25</v>
      </c>
      <c r="E17" s="999" t="s">
        <v>488</v>
      </c>
      <c r="F17" s="999">
        <v>1</v>
      </c>
      <c r="G17" s="999"/>
      <c r="H17" s="999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108" t="s">
        <v>18</v>
      </c>
      <c r="I18" s="997">
        <f>SUM(I15:I16)</f>
        <v>0.80400000000000005</v>
      </c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 xr:uid="{00000000-0004-0000-7E00-000000000000}"/>
    <hyperlink ref="G2" location="SU_A1100_BOM" display="Back to BOM" xr:uid="{00000000-0004-0000-7E00-000001000000}"/>
    <hyperlink ref="B4" location="SU_A1100" display="SU_A1100" xr:uid="{00000000-0004-0000-7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5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515</v>
      </c>
    </row>
  </sheetData>
  <hyperlinks>
    <hyperlink ref="B1" location="SU_11003" display="SU_11003" xr:uid="{00000000-0004-0000-7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28515625" bestFit="1" customWidth="1"/>
    <col min="2" max="2" width="19" customWidth="1"/>
    <col min="4" max="6" width="9.28515625" bestFit="1" customWidth="1"/>
    <col min="7" max="7" width="12.85546875" customWidth="1"/>
    <col min="8" max="8" width="12.7109375" bestFit="1" customWidth="1"/>
    <col min="9" max="9" width="15.85546875" customWidth="1"/>
    <col min="10" max="13" width="9.28515625" bestFit="1" customWidth="1"/>
    <col min="14" max="14" width="12.710937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8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89" t="s">
        <v>16</v>
      </c>
      <c r="N2" s="74">
        <f>SU_11004_m+SU_11004_p</f>
        <v>0.42454853333333331</v>
      </c>
      <c r="O2" s="62"/>
    </row>
    <row r="3" spans="1:15" x14ac:dyDescent="0.25">
      <c r="A3" s="989" t="s">
        <v>3</v>
      </c>
      <c r="B3" s="16" t="str">
        <f>'SU A1100 '!B3</f>
        <v>Wheels &amp; Tires</v>
      </c>
      <c r="C3" s="56"/>
      <c r="D3" s="989" t="s">
        <v>6</v>
      </c>
      <c r="E3" s="990" t="s">
        <v>60</v>
      </c>
      <c r="F3" s="56"/>
      <c r="G3" s="56"/>
      <c r="H3" s="56"/>
      <c r="I3" s="56"/>
      <c r="J3" s="56"/>
      <c r="K3" s="56"/>
      <c r="L3" s="56"/>
      <c r="M3" s="989" t="s">
        <v>4</v>
      </c>
      <c r="N3" s="82">
        <v>15</v>
      </c>
      <c r="O3" s="62"/>
    </row>
    <row r="4" spans="1:15" x14ac:dyDescent="0.25">
      <c r="A4" s="989" t="s">
        <v>5</v>
      </c>
      <c r="B4" s="266" t="str">
        <f>'SU A1100 '!B4</f>
        <v>Rear Uprights</v>
      </c>
      <c r="C4" s="56"/>
      <c r="D4" s="989" t="s">
        <v>8</v>
      </c>
      <c r="E4" s="56"/>
      <c r="F4" s="56"/>
      <c r="G4" s="56"/>
      <c r="H4" s="56"/>
      <c r="I4" s="56"/>
      <c r="J4" s="991" t="s">
        <v>6</v>
      </c>
      <c r="K4" s="56"/>
      <c r="L4" s="56"/>
      <c r="M4" s="56"/>
      <c r="N4" s="56"/>
      <c r="O4" s="62"/>
    </row>
    <row r="5" spans="1:15" x14ac:dyDescent="0.25">
      <c r="A5" s="989" t="s">
        <v>15</v>
      </c>
      <c r="B5" s="18" t="s">
        <v>436</v>
      </c>
      <c r="C5" s="56"/>
      <c r="D5" s="989" t="s">
        <v>12</v>
      </c>
      <c r="E5" s="56"/>
      <c r="F5" s="56"/>
      <c r="G5" s="56"/>
      <c r="H5" s="56"/>
      <c r="I5" s="56"/>
      <c r="J5" s="991" t="s">
        <v>8</v>
      </c>
      <c r="K5" s="56"/>
      <c r="L5" s="56"/>
      <c r="M5" s="989" t="s">
        <v>9</v>
      </c>
      <c r="N5" s="74">
        <f>N3*N2</f>
        <v>6.3682279999999993</v>
      </c>
      <c r="O5" s="62"/>
    </row>
    <row r="6" spans="1:15" x14ac:dyDescent="0.25">
      <c r="A6" s="989" t="s">
        <v>7</v>
      </c>
      <c r="B6" s="28" t="s">
        <v>510</v>
      </c>
      <c r="C6" s="56"/>
      <c r="D6" s="56"/>
      <c r="E6" s="56"/>
      <c r="F6" s="56"/>
      <c r="G6" s="56"/>
      <c r="H6" s="56"/>
      <c r="I6" s="56"/>
      <c r="J6" s="991" t="s">
        <v>12</v>
      </c>
      <c r="K6" s="56"/>
      <c r="L6" s="56"/>
      <c r="M6" s="56"/>
      <c r="N6" s="56"/>
      <c r="O6" s="62"/>
    </row>
    <row r="7" spans="1:15" x14ac:dyDescent="0.25">
      <c r="A7" s="98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89" t="s">
        <v>13</v>
      </c>
      <c r="B8" s="16" t="s">
        <v>490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2"/>
    </row>
    <row r="11" spans="1:15" s="22" customFormat="1" ht="30" x14ac:dyDescent="0.25">
      <c r="A11" s="961">
        <v>10</v>
      </c>
      <c r="B11" s="760" t="s">
        <v>301</v>
      </c>
      <c r="C11" s="999"/>
      <c r="D11" s="1020">
        <v>2.25</v>
      </c>
      <c r="E11" s="1016">
        <f>J11*K11*L11</f>
        <v>3.1651199999999997E-2</v>
      </c>
      <c r="F11" s="963" t="s">
        <v>141</v>
      </c>
      <c r="G11" s="963"/>
      <c r="H11" s="965"/>
      <c r="I11" s="824" t="s">
        <v>511</v>
      </c>
      <c r="J11" s="1017">
        <f>0.084*0.048</f>
        <v>4.032E-3</v>
      </c>
      <c r="K11" s="1018">
        <v>1E-3</v>
      </c>
      <c r="L11" s="975">
        <v>7850</v>
      </c>
      <c r="M11" s="976">
        <v>1</v>
      </c>
      <c r="N11" s="32">
        <f>D11*E11</f>
        <v>7.1215199999999992E-2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997">
        <f>N11*M11</f>
        <v>7.1215199999999992E-2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37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999">
        <v>10</v>
      </c>
      <c r="B15" s="1000" t="s">
        <v>457</v>
      </c>
      <c r="C15" s="1000" t="s">
        <v>471</v>
      </c>
      <c r="D15" s="1020">
        <v>1.3</v>
      </c>
      <c r="E15" s="999" t="s">
        <v>32</v>
      </c>
      <c r="F15" s="999">
        <v>1</v>
      </c>
      <c r="G15" s="999" t="s">
        <v>512</v>
      </c>
      <c r="H15" s="999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25">
      <c r="A16" s="999">
        <v>20</v>
      </c>
      <c r="B16" s="1000" t="s">
        <v>347</v>
      </c>
      <c r="C16" s="1000"/>
      <c r="D16" s="1020">
        <v>0.01</v>
      </c>
      <c r="E16" s="999" t="s">
        <v>40</v>
      </c>
      <c r="F16" s="999">
        <v>31</v>
      </c>
      <c r="G16" s="999"/>
      <c r="H16" s="999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997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 xr:uid="{00000000-0004-0000-8000-000000000000}"/>
    <hyperlink ref="G2" location="SU_A1100_BOM" display="Back to BOM" xr:uid="{00000000-0004-0000-8000-000001000000}"/>
    <hyperlink ref="B4" location="SU_A1100" display="SU_A1100" xr:uid="{00000000-0004-0000-80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FF66"/>
    <pageSetUpPr fitToPage="1"/>
  </sheetPr>
  <dimension ref="A1:Q17"/>
  <sheetViews>
    <sheetView zoomScale="80" zoomScaleNormal="80" zoomScalePageLayoutView="70" workbookViewId="0">
      <selection activeCell="B21" sqref="B21"/>
    </sheetView>
  </sheetViews>
  <sheetFormatPr baseColWidth="10" defaultRowHeight="15" x14ac:dyDescent="0.25"/>
  <cols>
    <col min="2" max="2" width="28.7109375" customWidth="1"/>
    <col min="3" max="3" width="8.85546875" customWidth="1"/>
    <col min="9" max="9" width="15.28515625" customWidth="1"/>
    <col min="10" max="10" width="13.7109375" customWidth="1"/>
    <col min="17" max="17" width="12.85546875" bestFit="1" customWidth="1"/>
  </cols>
  <sheetData>
    <row r="1" spans="1:17" x14ac:dyDescent="0.25">
      <c r="A1" s="330"/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2"/>
    </row>
    <row r="2" spans="1:17" x14ac:dyDescent="0.25">
      <c r="A2" s="333" t="s">
        <v>0</v>
      </c>
      <c r="B2" s="334" t="s">
        <v>37</v>
      </c>
      <c r="C2" s="335"/>
      <c r="D2" s="335"/>
      <c r="E2" s="335"/>
      <c r="F2" s="335"/>
      <c r="G2" s="336" t="s">
        <v>62</v>
      </c>
      <c r="H2" s="335"/>
      <c r="I2" s="335"/>
      <c r="J2" s="337" t="s">
        <v>1</v>
      </c>
      <c r="K2" s="338">
        <v>81</v>
      </c>
      <c r="L2" s="335"/>
      <c r="M2" s="333" t="s">
        <v>16</v>
      </c>
      <c r="N2" s="339">
        <f>N12+I16</f>
        <v>0.47719727680000001</v>
      </c>
      <c r="O2" s="340"/>
    </row>
    <row r="3" spans="1:17" x14ac:dyDescent="0.25">
      <c r="A3" s="333" t="s">
        <v>3</v>
      </c>
      <c r="B3" s="334" t="str">
        <f>'SU A0100'!B3</f>
        <v>Suspension &amp; Shocks</v>
      </c>
      <c r="C3" s="335"/>
      <c r="D3" s="333" t="s">
        <v>6</v>
      </c>
      <c r="E3" s="376" t="s">
        <v>60</v>
      </c>
      <c r="F3" s="335"/>
      <c r="G3" s="335"/>
      <c r="H3" s="335"/>
      <c r="I3" s="335"/>
      <c r="J3" s="335"/>
      <c r="K3" s="335"/>
      <c r="L3" s="335"/>
      <c r="M3" s="333" t="s">
        <v>4</v>
      </c>
      <c r="N3" s="342">
        <v>2</v>
      </c>
      <c r="O3" s="340"/>
    </row>
    <row r="4" spans="1:17" x14ac:dyDescent="0.25">
      <c r="A4" s="333" t="s">
        <v>5</v>
      </c>
      <c r="B4" s="336" t="str">
        <f>'SU A0100'!B4</f>
        <v>Upper Front A-arm</v>
      </c>
      <c r="C4" s="335"/>
      <c r="D4" s="333" t="s">
        <v>8</v>
      </c>
      <c r="E4" s="335"/>
      <c r="F4" s="335"/>
      <c r="G4" s="335"/>
      <c r="H4" s="335"/>
      <c r="I4" s="335"/>
      <c r="J4" s="343" t="s">
        <v>6</v>
      </c>
      <c r="K4" s="335"/>
      <c r="L4" s="335"/>
      <c r="M4" s="335"/>
      <c r="N4" s="335"/>
      <c r="O4" s="340"/>
    </row>
    <row r="5" spans="1:17" x14ac:dyDescent="0.25">
      <c r="A5" s="1212" t="s">
        <v>15</v>
      </c>
      <c r="B5" s="1214" t="s">
        <v>69</v>
      </c>
      <c r="C5" s="335"/>
      <c r="D5" s="333" t="s">
        <v>12</v>
      </c>
      <c r="E5" s="335"/>
      <c r="F5" s="335"/>
      <c r="G5" s="335"/>
      <c r="H5" s="335"/>
      <c r="I5" s="335"/>
      <c r="J5" s="343" t="s">
        <v>8</v>
      </c>
      <c r="K5" s="335"/>
      <c r="L5" s="335"/>
      <c r="M5" s="333" t="s">
        <v>9</v>
      </c>
      <c r="N5" s="339">
        <f>N3*N2</f>
        <v>0.95439455360000003</v>
      </c>
      <c r="O5" s="340"/>
    </row>
    <row r="6" spans="1:17" x14ac:dyDescent="0.25">
      <c r="A6" s="333" t="s">
        <v>7</v>
      </c>
      <c r="B6" s="344" t="s">
        <v>120</v>
      </c>
      <c r="C6" s="335"/>
      <c r="D6" s="335"/>
      <c r="E6" s="335"/>
      <c r="F6" s="335"/>
      <c r="G6" s="335"/>
      <c r="H6" s="335"/>
      <c r="I6" s="335"/>
      <c r="J6" s="343" t="s">
        <v>12</v>
      </c>
      <c r="K6" s="335"/>
      <c r="L6" s="335"/>
      <c r="M6" s="335"/>
      <c r="N6" s="335"/>
      <c r="O6" s="340"/>
    </row>
    <row r="7" spans="1:17" x14ac:dyDescent="0.25">
      <c r="A7" s="333" t="s">
        <v>10</v>
      </c>
      <c r="B7" s="334" t="s">
        <v>11</v>
      </c>
      <c r="C7" s="335"/>
      <c r="D7" s="335"/>
      <c r="E7" s="335"/>
      <c r="F7" s="335"/>
      <c r="G7" s="335"/>
      <c r="H7" s="335"/>
      <c r="I7" s="335"/>
      <c r="J7" s="335"/>
      <c r="K7" s="335"/>
      <c r="L7" s="335"/>
      <c r="M7" s="335"/>
      <c r="N7" s="335"/>
      <c r="O7" s="340"/>
    </row>
    <row r="8" spans="1:17" x14ac:dyDescent="0.25">
      <c r="A8" s="333" t="s">
        <v>13</v>
      </c>
      <c r="B8" s="334"/>
      <c r="C8" s="335"/>
      <c r="D8" s="335"/>
      <c r="E8" s="335"/>
      <c r="F8" s="335"/>
      <c r="G8" s="335"/>
      <c r="H8" s="335"/>
      <c r="I8" s="335"/>
      <c r="J8" s="335"/>
      <c r="K8" s="335"/>
      <c r="L8" s="335"/>
      <c r="M8" s="335"/>
      <c r="N8" s="335"/>
      <c r="O8" s="340"/>
    </row>
    <row r="9" spans="1:17" x14ac:dyDescent="0.25">
      <c r="A9" s="345"/>
      <c r="B9" s="346"/>
      <c r="C9" s="346"/>
      <c r="D9" s="346"/>
      <c r="E9" s="346"/>
      <c r="F9" s="335"/>
      <c r="G9" s="335"/>
      <c r="H9" s="335"/>
      <c r="I9" s="335"/>
      <c r="J9" s="335"/>
      <c r="K9" s="335"/>
      <c r="L9" s="335"/>
      <c r="M9" s="335"/>
      <c r="N9" s="335"/>
      <c r="O9" s="340"/>
    </row>
    <row r="10" spans="1:17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7" s="176" customFormat="1" ht="17.45" customHeight="1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386">
        <v>12</v>
      </c>
      <c r="F11" s="383" t="s">
        <v>30</v>
      </c>
      <c r="G11" s="383"/>
      <c r="H11" s="387"/>
      <c r="I11" s="388" t="s">
        <v>549</v>
      </c>
      <c r="J11" s="389">
        <f>3.14*0.006^2</f>
        <v>1.1304E-4</v>
      </c>
      <c r="K11" s="390">
        <v>0.06</v>
      </c>
      <c r="L11" s="395">
        <v>2710</v>
      </c>
      <c r="M11" s="391">
        <v>1</v>
      </c>
      <c r="N11" s="329">
        <f>IF(J11="",D11*M11,D11*J11*K11*L11*M11)</f>
        <v>7.7197276800000006E-2</v>
      </c>
      <c r="O11" s="396"/>
    </row>
    <row r="12" spans="1:17" x14ac:dyDescent="0.25">
      <c r="A12" s="363"/>
      <c r="B12" s="364"/>
      <c r="C12" s="364"/>
      <c r="D12" s="364"/>
      <c r="E12" s="364"/>
      <c r="F12" s="364"/>
      <c r="G12" s="364"/>
      <c r="H12" s="364"/>
      <c r="I12" s="364"/>
      <c r="J12" s="364"/>
      <c r="K12" s="364"/>
      <c r="L12" s="364"/>
      <c r="M12" s="365" t="s">
        <v>18</v>
      </c>
      <c r="N12" s="366">
        <f>SUM(N11:N11)</f>
        <v>7.7197276800000006E-2</v>
      </c>
      <c r="O12" s="340"/>
    </row>
    <row r="13" spans="1:17" x14ac:dyDescent="0.25">
      <c r="A13" s="367"/>
      <c r="B13" s="335"/>
      <c r="C13" s="335"/>
      <c r="D13" s="335"/>
      <c r="E13" s="335"/>
      <c r="F13" s="335"/>
      <c r="G13" s="335"/>
      <c r="H13" s="335"/>
      <c r="I13" s="335"/>
      <c r="J13" s="335"/>
      <c r="K13" s="335"/>
      <c r="L13" s="335"/>
      <c r="M13" s="335"/>
      <c r="N13" s="335"/>
      <c r="O13" s="340"/>
      <c r="Q13" s="131"/>
    </row>
    <row r="14" spans="1:17" x14ac:dyDescent="0.25">
      <c r="A14" s="368" t="s">
        <v>14</v>
      </c>
      <c r="B14" s="349" t="s">
        <v>31</v>
      </c>
      <c r="C14" s="349" t="s">
        <v>20</v>
      </c>
      <c r="D14" s="349" t="s">
        <v>21</v>
      </c>
      <c r="E14" s="349" t="s">
        <v>32</v>
      </c>
      <c r="F14" s="349" t="s">
        <v>17</v>
      </c>
      <c r="G14" s="349" t="s">
        <v>33</v>
      </c>
      <c r="H14" s="349" t="s">
        <v>34</v>
      </c>
      <c r="I14" s="349" t="s">
        <v>18</v>
      </c>
      <c r="J14" s="364"/>
      <c r="K14" s="364"/>
      <c r="L14" s="364"/>
      <c r="M14" s="364"/>
      <c r="N14" s="364"/>
      <c r="O14" s="340"/>
    </row>
    <row r="15" spans="1:17" x14ac:dyDescent="0.25">
      <c r="A15" s="325">
        <v>10</v>
      </c>
      <c r="B15" s="322" t="s">
        <v>199</v>
      </c>
      <c r="C15" s="392"/>
      <c r="D15" s="393">
        <v>0.4</v>
      </c>
      <c r="E15" s="325" t="s">
        <v>40</v>
      </c>
      <c r="F15" s="325">
        <v>1</v>
      </c>
      <c r="G15" s="325"/>
      <c r="H15" s="325"/>
      <c r="I15" s="394">
        <f>IF(H15="",D15*F15,D15*F15*H15)</f>
        <v>0.4</v>
      </c>
      <c r="J15" s="370"/>
      <c r="K15" s="370"/>
      <c r="L15" s="370"/>
      <c r="M15" s="370"/>
      <c r="N15" s="370"/>
      <c r="O15" s="371"/>
    </row>
    <row r="16" spans="1:17" x14ac:dyDescent="0.25">
      <c r="A16" s="363"/>
      <c r="B16" s="364"/>
      <c r="C16" s="364"/>
      <c r="D16" s="364"/>
      <c r="E16" s="364"/>
      <c r="F16" s="364"/>
      <c r="G16" s="364"/>
      <c r="H16" s="372" t="s">
        <v>18</v>
      </c>
      <c r="I16" s="366">
        <f>SUM(I15:I15)</f>
        <v>0.4</v>
      </c>
      <c r="J16" s="364"/>
      <c r="K16" s="364"/>
      <c r="L16" s="364"/>
      <c r="M16" s="364"/>
      <c r="N16" s="364"/>
      <c r="O16" s="340"/>
    </row>
    <row r="17" spans="1:15" ht="15.75" thickBot="1" x14ac:dyDescent="0.3">
      <c r="A17" s="373"/>
      <c r="B17" s="374"/>
      <c r="C17" s="374"/>
      <c r="D17" s="374"/>
      <c r="E17" s="374"/>
      <c r="F17" s="374"/>
      <c r="G17" s="374"/>
      <c r="H17" s="374"/>
      <c r="I17" s="374"/>
      <c r="J17" s="374"/>
      <c r="K17" s="374"/>
      <c r="L17" s="374"/>
      <c r="M17" s="374"/>
      <c r="N17" s="374"/>
      <c r="O17" s="375"/>
    </row>
  </sheetData>
  <hyperlinks>
    <hyperlink ref="B4" location="'SU A0100'!A1" display="'SU A0100'!A1" xr:uid="{00000000-0004-0000-0C00-000000000000}"/>
    <hyperlink ref="E3" location="dSU_01007" display="Drawing" xr:uid="{00000000-0004-0000-0C00-000001000000}"/>
    <hyperlink ref="G2" location="SU_A0100_BOM" display="Back to BOM" xr:uid="{00000000-0004-0000-0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0" t="s">
        <v>516</v>
      </c>
    </row>
  </sheetData>
  <hyperlinks>
    <hyperlink ref="B1" location="SU_11004" display="SU_11004" xr:uid="{00000000-0004-0000-81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0-000000000000}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B5" sqref="B5"/>
    </sheetView>
  </sheetViews>
  <sheetFormatPr baseColWidth="10" defaultColWidth="9.140625" defaultRowHeight="15" x14ac:dyDescent="0.25"/>
  <cols>
    <col min="2" max="2" width="35.28515625" customWidth="1"/>
    <col min="3" max="3" width="43.140625" customWidth="1"/>
    <col min="7" max="7" width="6.42578125" customWidth="1"/>
    <col min="8" max="8" width="9.140625" customWidth="1"/>
    <col min="9" max="9" width="13.7109375" customWidth="1"/>
    <col min="11" max="11" width="8.42578125" customWidth="1"/>
    <col min="12" max="12" width="7.4257812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SU_A1200_pa+SU_A1200_m+SU_A1200_p+SU_A1200_f</f>
        <v>23.479941973641726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403</v>
      </c>
      <c r="C4" s="698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519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N2*SU_A1200_q</f>
        <v>46.959883947283451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520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27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65">
        <v>10</v>
      </c>
      <c r="B10" s="702" t="s">
        <v>402</v>
      </c>
      <c r="C10" s="272">
        <f>'SU 12001'!N2</f>
        <v>9.0687098494115101</v>
      </c>
      <c r="D10" s="703">
        <f>SU_12001_q</f>
        <v>1</v>
      </c>
      <c r="E10" s="272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65">
        <v>20</v>
      </c>
      <c r="B11" s="702" t="s">
        <v>401</v>
      </c>
      <c r="C11" s="272">
        <f>'SU 12002'!N2</f>
        <v>1.5833945082514056</v>
      </c>
      <c r="D11" s="703">
        <f>SU_12002_q</f>
        <v>2</v>
      </c>
      <c r="E11" s="272">
        <f t="shared" ref="E11:E13" si="0"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25">
      <c r="A12" s="665">
        <v>30</v>
      </c>
      <c r="B12" s="1031" t="str">
        <f>'SU 12003'!B5</f>
        <v>Spacer 1</v>
      </c>
      <c r="C12" s="272">
        <f>'SU 12003'!N2</f>
        <v>0.34825628167808953</v>
      </c>
      <c r="D12" s="703">
        <f>SU_12003_q</f>
        <v>2</v>
      </c>
      <c r="E12" s="272">
        <f t="shared" si="0"/>
        <v>0.69651256335617906</v>
      </c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25">
      <c r="A13" s="665">
        <v>30</v>
      </c>
      <c r="B13" s="1031" t="str">
        <f>'SU 12004'!B5</f>
        <v>Spacer 2</v>
      </c>
      <c r="C13" s="272">
        <f>'SU 12004'!N2</f>
        <v>0.34825628167808953</v>
      </c>
      <c r="D13" s="703">
        <f>SU_12003_q</f>
        <v>2</v>
      </c>
      <c r="E13" s="272">
        <f t="shared" si="0"/>
        <v>0.69651256335617906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25">
      <c r="A14" s="63"/>
      <c r="B14" s="56"/>
      <c r="C14" s="56"/>
      <c r="D14" s="254" t="s">
        <v>18</v>
      </c>
      <c r="E14" s="234">
        <f>SUM(E10:E13)</f>
        <v>13.628523992626681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25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25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25">
      <c r="A17" s="72">
        <v>10</v>
      </c>
      <c r="B17" s="1043" t="s">
        <v>399</v>
      </c>
      <c r="C17" s="1043" t="s">
        <v>400</v>
      </c>
      <c r="D17" s="267">
        <f>0.02*E17^2+1.22</f>
        <v>2.5</v>
      </c>
      <c r="E17" s="1043">
        <v>8</v>
      </c>
      <c r="F17" s="1043" t="s">
        <v>30</v>
      </c>
      <c r="G17" s="1043"/>
      <c r="H17" s="868"/>
      <c r="I17" s="1044" t="s">
        <v>397</v>
      </c>
      <c r="J17" s="866"/>
      <c r="K17" s="868"/>
      <c r="L17" s="868"/>
      <c r="M17" s="866">
        <v>1</v>
      </c>
      <c r="N17" s="269">
        <f>D17*M17</f>
        <v>2.5</v>
      </c>
      <c r="O17" s="62"/>
    </row>
    <row r="18" spans="1:15" s="22" customFormat="1" x14ac:dyDescent="0.25">
      <c r="A18" s="72">
        <v>20</v>
      </c>
      <c r="B18" s="1043" t="s">
        <v>399</v>
      </c>
      <c r="C18" s="1043" t="s">
        <v>398</v>
      </c>
      <c r="D18" s="267">
        <f>0.02*E18^2+1.22</f>
        <v>2.5</v>
      </c>
      <c r="E18" s="1043">
        <v>8</v>
      </c>
      <c r="F18" s="1043" t="s">
        <v>30</v>
      </c>
      <c r="G18" s="1043"/>
      <c r="H18" s="868"/>
      <c r="I18" s="869" t="s">
        <v>397</v>
      </c>
      <c r="J18" s="866"/>
      <c r="K18" s="868"/>
      <c r="L18" s="867"/>
      <c r="M18" s="866">
        <v>1</v>
      </c>
      <c r="N18" s="269">
        <f>D18*M18</f>
        <v>2.5</v>
      </c>
      <c r="O18" s="66"/>
    </row>
    <row r="19" spans="1:15" x14ac:dyDescent="0.25">
      <c r="A19" s="67"/>
      <c r="B19" s="865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25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25">
      <c r="A22" s="72">
        <v>10</v>
      </c>
      <c r="B22" s="271" t="s">
        <v>76</v>
      </c>
      <c r="C22" s="863" t="s">
        <v>155</v>
      </c>
      <c r="D22" s="268">
        <v>0.02</v>
      </c>
      <c r="E22" s="863" t="s">
        <v>74</v>
      </c>
      <c r="F22" s="861">
        <v>6.6</v>
      </c>
      <c r="G22" s="864"/>
      <c r="H22" s="861">
        <v>1</v>
      </c>
      <c r="I22" s="268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25">
      <c r="A23" s="72">
        <f>A22+10</f>
        <v>20</v>
      </c>
      <c r="B23" s="271" t="s">
        <v>76</v>
      </c>
      <c r="C23" s="863" t="s">
        <v>396</v>
      </c>
      <c r="D23" s="268">
        <v>0.02</v>
      </c>
      <c r="E23" s="863" t="s">
        <v>74</v>
      </c>
      <c r="F23" s="861">
        <v>6.6</v>
      </c>
      <c r="G23" s="861"/>
      <c r="H23" s="861">
        <v>1</v>
      </c>
      <c r="I23" s="268">
        <f t="shared" ref="I23:I37" si="1">D23*F23*H23</f>
        <v>0.13200000000000001</v>
      </c>
      <c r="J23" s="56"/>
      <c r="K23" s="56"/>
      <c r="L23" s="56"/>
      <c r="M23" s="56"/>
      <c r="N23" s="56"/>
      <c r="O23" s="62"/>
    </row>
    <row r="24" spans="1:15" x14ac:dyDescent="0.25">
      <c r="A24" s="72">
        <f t="shared" ref="A24:A37" si="2">A23+10</f>
        <v>30</v>
      </c>
      <c r="B24" s="1045" t="s">
        <v>395</v>
      </c>
      <c r="C24" s="860" t="s">
        <v>394</v>
      </c>
      <c r="D24" s="74">
        <v>0.02</v>
      </c>
      <c r="E24" s="860" t="s">
        <v>393</v>
      </c>
      <c r="F24" s="861">
        <v>6.6</v>
      </c>
      <c r="G24" s="860"/>
      <c r="H24" s="860">
        <v>1</v>
      </c>
      <c r="I24" s="268">
        <f t="shared" si="1"/>
        <v>0.13200000000000001</v>
      </c>
      <c r="J24" s="56"/>
      <c r="K24" s="56"/>
      <c r="L24" s="56"/>
      <c r="M24" s="56"/>
      <c r="N24" s="56"/>
      <c r="O24" s="62"/>
    </row>
    <row r="25" spans="1:15" x14ac:dyDescent="0.25">
      <c r="A25" s="72">
        <f t="shared" si="2"/>
        <v>40</v>
      </c>
      <c r="B25" s="244" t="s">
        <v>289</v>
      </c>
      <c r="C25" s="1046" t="s">
        <v>392</v>
      </c>
      <c r="D25" s="74">
        <v>0.12</v>
      </c>
      <c r="E25" s="72" t="s">
        <v>35</v>
      </c>
      <c r="F25" s="72">
        <v>1</v>
      </c>
      <c r="G25" s="72"/>
      <c r="H25" s="72">
        <v>1</v>
      </c>
      <c r="I25" s="268">
        <f t="shared" si="1"/>
        <v>0.12</v>
      </c>
      <c r="J25" s="56"/>
      <c r="K25" s="56"/>
      <c r="L25" s="56"/>
      <c r="M25" s="56"/>
      <c r="N25" s="56"/>
      <c r="O25" s="62"/>
    </row>
    <row r="26" spans="1:15" x14ac:dyDescent="0.25">
      <c r="A26" s="72">
        <f t="shared" si="2"/>
        <v>50</v>
      </c>
      <c r="B26" s="244" t="s">
        <v>391</v>
      </c>
      <c r="C26" s="1046" t="s">
        <v>390</v>
      </c>
      <c r="D26" s="74">
        <v>0.5</v>
      </c>
      <c r="E26" s="859" t="s">
        <v>35</v>
      </c>
      <c r="F26" s="72">
        <v>1</v>
      </c>
      <c r="G26" s="72"/>
      <c r="H26" s="72">
        <v>1</v>
      </c>
      <c r="I26" s="268">
        <f t="shared" si="1"/>
        <v>0.5</v>
      </c>
      <c r="J26" s="56"/>
      <c r="K26" s="56"/>
      <c r="L26" s="56"/>
      <c r="M26" s="56"/>
      <c r="N26" s="56"/>
      <c r="O26" s="62"/>
    </row>
    <row r="27" spans="1:15" x14ac:dyDescent="0.25">
      <c r="A27" s="72">
        <f t="shared" si="2"/>
        <v>60</v>
      </c>
      <c r="B27" s="244" t="s">
        <v>389</v>
      </c>
      <c r="C27" s="1046" t="s">
        <v>293</v>
      </c>
      <c r="D27" s="74">
        <v>1.5</v>
      </c>
      <c r="E27" s="72" t="s">
        <v>35</v>
      </c>
      <c r="F27" s="72">
        <v>1</v>
      </c>
      <c r="G27" s="72"/>
      <c r="H27" s="72">
        <v>1</v>
      </c>
      <c r="I27" s="268">
        <f t="shared" si="1"/>
        <v>1.5</v>
      </c>
      <c r="J27" s="56"/>
      <c r="K27" s="56"/>
      <c r="L27" s="56"/>
      <c r="M27" s="56"/>
      <c r="N27" s="56"/>
      <c r="O27" s="62"/>
    </row>
    <row r="28" spans="1:15" x14ac:dyDescent="0.25">
      <c r="A28" s="72">
        <f t="shared" si="2"/>
        <v>70</v>
      </c>
      <c r="B28" s="244" t="s">
        <v>294</v>
      </c>
      <c r="C28" s="1046" t="s">
        <v>293</v>
      </c>
      <c r="D28" s="74">
        <v>0.25</v>
      </c>
      <c r="E28" s="72" t="s">
        <v>35</v>
      </c>
      <c r="F28" s="72">
        <v>1</v>
      </c>
      <c r="G28" s="72"/>
      <c r="H28" s="72">
        <v>1</v>
      </c>
      <c r="I28" s="268">
        <f t="shared" si="1"/>
        <v>0.25</v>
      </c>
      <c r="J28" s="56"/>
      <c r="K28" s="56"/>
      <c r="L28" s="56"/>
      <c r="M28" s="56"/>
      <c r="N28" s="56"/>
      <c r="O28" s="62"/>
    </row>
    <row r="29" spans="1:15" x14ac:dyDescent="0.25">
      <c r="A29" s="72">
        <f t="shared" si="2"/>
        <v>80</v>
      </c>
      <c r="B29" s="1046" t="s">
        <v>286</v>
      </c>
      <c r="C29" s="1046" t="s">
        <v>388</v>
      </c>
      <c r="D29" s="857">
        <v>0.06</v>
      </c>
      <c r="E29" s="1047" t="s">
        <v>35</v>
      </c>
      <c r="F29" s="72">
        <v>1</v>
      </c>
      <c r="G29" s="1047"/>
      <c r="H29" s="1047">
        <v>1</v>
      </c>
      <c r="I29" s="268">
        <f t="shared" si="1"/>
        <v>0.06</v>
      </c>
      <c r="J29" s="56"/>
      <c r="K29" s="56"/>
      <c r="L29" s="56"/>
      <c r="M29" s="56"/>
      <c r="N29" s="56"/>
      <c r="O29" s="62"/>
    </row>
    <row r="30" spans="1:15" x14ac:dyDescent="0.25">
      <c r="A30" s="72">
        <f t="shared" si="2"/>
        <v>90</v>
      </c>
      <c r="B30" s="1046" t="s">
        <v>286</v>
      </c>
      <c r="C30" s="1046" t="s">
        <v>325</v>
      </c>
      <c r="D30" s="857">
        <v>0.06</v>
      </c>
      <c r="E30" s="1047" t="s">
        <v>35</v>
      </c>
      <c r="F30" s="72">
        <v>1</v>
      </c>
      <c r="G30" s="1047"/>
      <c r="H30" s="1047">
        <v>1</v>
      </c>
      <c r="I30" s="268">
        <f t="shared" si="1"/>
        <v>0.06</v>
      </c>
      <c r="J30" s="56"/>
      <c r="K30" s="56"/>
      <c r="L30" s="56"/>
      <c r="M30" s="56"/>
      <c r="N30" s="56"/>
      <c r="O30" s="62"/>
    </row>
    <row r="31" spans="1:15" x14ac:dyDescent="0.25">
      <c r="A31" s="72">
        <f t="shared" si="2"/>
        <v>100</v>
      </c>
      <c r="B31" s="244" t="s">
        <v>289</v>
      </c>
      <c r="C31" s="1046" t="s">
        <v>387</v>
      </c>
      <c r="D31" s="857">
        <v>0.12</v>
      </c>
      <c r="E31" s="1047" t="s">
        <v>35</v>
      </c>
      <c r="F31" s="72">
        <v>1</v>
      </c>
      <c r="G31" s="1047"/>
      <c r="H31" s="1047">
        <v>1</v>
      </c>
      <c r="I31" s="268">
        <f t="shared" si="1"/>
        <v>0.12</v>
      </c>
      <c r="J31" s="56"/>
      <c r="K31" s="56"/>
      <c r="L31" s="56"/>
      <c r="M31" s="56"/>
      <c r="N31" s="56"/>
      <c r="O31" s="62"/>
    </row>
    <row r="32" spans="1:15" x14ac:dyDescent="0.25">
      <c r="A32" s="72">
        <f t="shared" si="2"/>
        <v>110</v>
      </c>
      <c r="B32" s="1047" t="s">
        <v>286</v>
      </c>
      <c r="C32" s="1046" t="s">
        <v>386</v>
      </c>
      <c r="D32" s="857">
        <v>0.06</v>
      </c>
      <c r="E32" s="1047" t="s">
        <v>35</v>
      </c>
      <c r="F32" s="72">
        <v>1</v>
      </c>
      <c r="G32" s="1047"/>
      <c r="H32" s="1047">
        <v>1</v>
      </c>
      <c r="I32" s="268">
        <f t="shared" si="1"/>
        <v>0.06</v>
      </c>
      <c r="J32" s="56"/>
      <c r="K32" s="56"/>
      <c r="L32" s="56"/>
      <c r="M32" s="56"/>
      <c r="N32" s="56"/>
      <c r="O32" s="62"/>
    </row>
    <row r="33" spans="1:15" s="17" customFormat="1" x14ac:dyDescent="0.25">
      <c r="A33" s="72">
        <f t="shared" si="2"/>
        <v>120</v>
      </c>
      <c r="B33" s="1047" t="s">
        <v>286</v>
      </c>
      <c r="C33" s="1046" t="s">
        <v>385</v>
      </c>
      <c r="D33" s="857">
        <v>0.06</v>
      </c>
      <c r="E33" s="1047" t="s">
        <v>35</v>
      </c>
      <c r="F33" s="72">
        <v>1</v>
      </c>
      <c r="G33" s="1047"/>
      <c r="H33" s="1047">
        <v>1</v>
      </c>
      <c r="I33" s="268">
        <f t="shared" si="1"/>
        <v>0.06</v>
      </c>
      <c r="J33" s="57"/>
      <c r="K33" s="57"/>
      <c r="L33" s="57"/>
      <c r="M33" s="57"/>
      <c r="N33" s="57"/>
      <c r="O33" s="65"/>
    </row>
    <row r="34" spans="1:15" s="25" customFormat="1" x14ac:dyDescent="0.25">
      <c r="A34" s="72">
        <f t="shared" si="2"/>
        <v>130</v>
      </c>
      <c r="B34" s="244" t="s">
        <v>289</v>
      </c>
      <c r="C34" s="1046" t="s">
        <v>384</v>
      </c>
      <c r="D34" s="857">
        <v>0.12</v>
      </c>
      <c r="E34" s="1047" t="s">
        <v>35</v>
      </c>
      <c r="F34" s="72">
        <v>1</v>
      </c>
      <c r="G34" s="1047"/>
      <c r="H34" s="1047">
        <v>1</v>
      </c>
      <c r="I34" s="268">
        <f t="shared" si="1"/>
        <v>0.12</v>
      </c>
      <c r="J34" s="57"/>
      <c r="K34" s="57"/>
      <c r="L34" s="57"/>
      <c r="M34" s="57"/>
      <c r="N34" s="57"/>
      <c r="O34" s="68"/>
    </row>
    <row r="35" spans="1:15" s="25" customFormat="1" x14ac:dyDescent="0.25">
      <c r="A35" s="72">
        <f t="shared" si="2"/>
        <v>140</v>
      </c>
      <c r="B35" s="244" t="s">
        <v>289</v>
      </c>
      <c r="C35" s="1046" t="s">
        <v>291</v>
      </c>
      <c r="D35" s="857">
        <v>0.12</v>
      </c>
      <c r="E35" s="1047" t="s">
        <v>35</v>
      </c>
      <c r="F35" s="72">
        <v>1</v>
      </c>
      <c r="G35" s="1047"/>
      <c r="H35" s="1047">
        <v>1</v>
      </c>
      <c r="I35" s="268">
        <f t="shared" si="1"/>
        <v>0.12</v>
      </c>
      <c r="J35" s="57"/>
      <c r="K35" s="57"/>
      <c r="L35" s="57"/>
      <c r="M35" s="57"/>
      <c r="N35" s="57"/>
      <c r="O35" s="68"/>
    </row>
    <row r="36" spans="1:15" s="17" customFormat="1" ht="14.45" customHeight="1" x14ac:dyDescent="0.25">
      <c r="A36" s="72">
        <f t="shared" si="2"/>
        <v>150</v>
      </c>
      <c r="B36" s="244" t="s">
        <v>292</v>
      </c>
      <c r="C36" s="1046" t="s">
        <v>293</v>
      </c>
      <c r="D36" s="857">
        <v>0.75</v>
      </c>
      <c r="E36" s="1047" t="s">
        <v>35</v>
      </c>
      <c r="F36" s="72">
        <v>1</v>
      </c>
      <c r="G36" s="1047"/>
      <c r="H36" s="1047">
        <v>1</v>
      </c>
      <c r="I36" s="268">
        <f t="shared" si="1"/>
        <v>0.75</v>
      </c>
      <c r="J36" s="57"/>
      <c r="K36" s="57"/>
      <c r="L36" s="57"/>
      <c r="M36" s="57"/>
      <c r="N36" s="57"/>
      <c r="O36" s="65"/>
    </row>
    <row r="37" spans="1:15" s="17" customFormat="1" ht="14.45" customHeight="1" x14ac:dyDescent="0.25">
      <c r="A37" s="72">
        <f t="shared" si="2"/>
        <v>160</v>
      </c>
      <c r="B37" s="244" t="s">
        <v>294</v>
      </c>
      <c r="C37" s="1046" t="s">
        <v>293</v>
      </c>
      <c r="D37" s="857">
        <v>0.25</v>
      </c>
      <c r="E37" s="1047" t="s">
        <v>35</v>
      </c>
      <c r="F37" s="72">
        <v>1</v>
      </c>
      <c r="G37" s="1047"/>
      <c r="H37" s="1047">
        <v>1</v>
      </c>
      <c r="I37" s="268">
        <f t="shared" si="1"/>
        <v>0.25</v>
      </c>
      <c r="J37" s="57"/>
      <c r="K37" s="57"/>
      <c r="L37" s="57"/>
      <c r="M37" s="57"/>
      <c r="N37" s="57"/>
      <c r="O37" s="65"/>
    </row>
    <row r="38" spans="1:15" x14ac:dyDescent="0.25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4.3660000000000005</v>
      </c>
      <c r="J38" s="56"/>
      <c r="K38" s="56"/>
      <c r="L38" s="56"/>
      <c r="M38" s="56"/>
      <c r="N38" s="56"/>
      <c r="O38" s="62"/>
    </row>
    <row r="39" spans="1:15" x14ac:dyDescent="0.25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25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25">
      <c r="A41" s="72">
        <v>10</v>
      </c>
      <c r="B41" s="72" t="s">
        <v>295</v>
      </c>
      <c r="C41" s="72" t="s">
        <v>383</v>
      </c>
      <c r="D41" s="653">
        <f>0.8/105154*E41^2*G41*SQRT(G41)+0.003*EXP(0.319*E41)</f>
        <v>0.18547981844542938</v>
      </c>
      <c r="E41" s="654">
        <v>8</v>
      </c>
      <c r="F41" s="654" t="s">
        <v>30</v>
      </c>
      <c r="G41" s="654">
        <v>45</v>
      </c>
      <c r="H41" s="654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25">
      <c r="A42" s="72">
        <f>A41+10</f>
        <v>20</v>
      </c>
      <c r="B42" s="72" t="s">
        <v>295</v>
      </c>
      <c r="C42" s="72" t="s">
        <v>382</v>
      </c>
      <c r="D42" s="653">
        <f>0.8/105154*E42^2*G42*SQRT(G42)+0.003*EXP(0.319*E42)</f>
        <v>0.18547981844542938</v>
      </c>
      <c r="E42" s="654">
        <v>8</v>
      </c>
      <c r="F42" s="654" t="s">
        <v>30</v>
      </c>
      <c r="G42" s="654">
        <v>45</v>
      </c>
      <c r="H42" s="654" t="s">
        <v>30</v>
      </c>
      <c r="I42" s="82">
        <v>1</v>
      </c>
      <c r="J42" s="74">
        <f t="shared" ref="J42:J45" si="3">D42*I42</f>
        <v>0.18547981844542938</v>
      </c>
      <c r="K42" s="56"/>
      <c r="L42" s="56"/>
      <c r="M42" s="56"/>
      <c r="N42" s="56"/>
      <c r="O42" s="62"/>
    </row>
    <row r="43" spans="1:15" x14ac:dyDescent="0.25">
      <c r="A43" s="72">
        <f t="shared" ref="A43:A45" si="4">A42+10</f>
        <v>30</v>
      </c>
      <c r="B43" s="72" t="s">
        <v>297</v>
      </c>
      <c r="C43" s="72"/>
      <c r="D43" s="653">
        <v>0.01</v>
      </c>
      <c r="E43" s="72">
        <v>8</v>
      </c>
      <c r="F43" s="655" t="s">
        <v>35</v>
      </c>
      <c r="G43" s="72"/>
      <c r="H43" s="72"/>
      <c r="I43" s="82">
        <v>4</v>
      </c>
      <c r="J43" s="74">
        <f t="shared" si="3"/>
        <v>0.04</v>
      </c>
      <c r="K43" s="56"/>
      <c r="L43" s="56"/>
      <c r="M43" s="56"/>
      <c r="N43" s="56"/>
      <c r="O43" s="62"/>
    </row>
    <row r="44" spans="1:15" x14ac:dyDescent="0.25">
      <c r="A44" s="72">
        <f t="shared" si="4"/>
        <v>40</v>
      </c>
      <c r="B44" s="72" t="s">
        <v>298</v>
      </c>
      <c r="C44" s="72" t="s">
        <v>381</v>
      </c>
      <c r="D44" s="653">
        <f>0.009*EXP(0.2*E44)</f>
        <v>2.9881052304628931E-2</v>
      </c>
      <c r="E44" s="72">
        <v>6</v>
      </c>
      <c r="F44" s="655" t="s">
        <v>30</v>
      </c>
      <c r="G44" s="72"/>
      <c r="H44" s="72"/>
      <c r="I44" s="82">
        <v>1</v>
      </c>
      <c r="J44" s="74">
        <f t="shared" si="3"/>
        <v>2.9881052304628931E-2</v>
      </c>
      <c r="K44" s="56"/>
      <c r="L44" s="56"/>
      <c r="M44" s="56"/>
      <c r="N44" s="56"/>
      <c r="O44" s="62"/>
    </row>
    <row r="45" spans="1:15" x14ac:dyDescent="0.25">
      <c r="A45" s="72">
        <f t="shared" si="4"/>
        <v>50</v>
      </c>
      <c r="B45" s="72" t="s">
        <v>298</v>
      </c>
      <c r="C45" s="72" t="s">
        <v>380</v>
      </c>
      <c r="D45" s="653">
        <f>0.009*EXP(0.2*E45)</f>
        <v>4.4577291819556032E-2</v>
      </c>
      <c r="E45" s="72">
        <v>8</v>
      </c>
      <c r="F45" s="655" t="s">
        <v>30</v>
      </c>
      <c r="G45" s="72"/>
      <c r="H45" s="72"/>
      <c r="I45" s="82">
        <v>1</v>
      </c>
      <c r="J45" s="74">
        <f t="shared" si="3"/>
        <v>4.4577291819556032E-2</v>
      </c>
      <c r="K45" s="56"/>
      <c r="L45" s="56"/>
      <c r="M45" s="56"/>
      <c r="N45" s="56"/>
      <c r="O45" s="62"/>
    </row>
    <row r="46" spans="1:15" x14ac:dyDescent="0.25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0.48541798101504374</v>
      </c>
      <c r="K46" s="56"/>
      <c r="L46" s="56"/>
      <c r="M46" s="56"/>
      <c r="N46" s="56"/>
      <c r="O46" s="62"/>
    </row>
    <row r="47" spans="1:15" x14ac:dyDescent="0.25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.75" thickBot="1" x14ac:dyDescent="0.3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25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2004" display="SU_12004" xr:uid="{00000000-0004-0000-8200-000000000000}"/>
    <hyperlink ref="B10" location="SU_12001" display="Pullrod tube" xr:uid="{00000000-0004-0000-8200-000001000000}"/>
    <hyperlink ref="B11" location="SU_12002" display="Pullrod insert" xr:uid="{00000000-0004-0000-8200-000002000000}"/>
    <hyperlink ref="B12" location="SU_12003" display="SU_12003" xr:uid="{00000000-0004-0000-8200-000003000000}"/>
    <hyperlink ref="E2" location="SU_A1200_BOM" display="Back to BOM" xr:uid="{00000000-0004-0000-82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0-000000000000}">
  <sheetPr>
    <tabColor rgb="FFFFFF66"/>
    <pageSetUpPr fitToPage="1"/>
  </sheetPr>
  <dimension ref="A1:O279"/>
  <sheetViews>
    <sheetView zoomScale="70" zoomScaleNormal="70" zoomScalePageLayoutView="70" workbookViewId="0">
      <selection activeCell="G33" sqref="G33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40.28515625" customWidth="1"/>
    <col min="9" max="9" width="31.7109375" customWidth="1"/>
    <col min="10" max="10" width="13.57031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48" t="s">
        <v>0</v>
      </c>
      <c r="B2" s="16" t="s">
        <v>37</v>
      </c>
      <c r="C2" s="1049"/>
      <c r="D2" s="1049"/>
      <c r="E2" s="1049"/>
      <c r="F2" s="87" t="s">
        <v>62</v>
      </c>
      <c r="G2" s="1049"/>
      <c r="H2" s="1049"/>
      <c r="I2" s="1049"/>
      <c r="J2" s="1050" t="s">
        <v>1</v>
      </c>
      <c r="K2" s="1051">
        <v>81</v>
      </c>
      <c r="L2" s="1049"/>
      <c r="M2" s="1052" t="s">
        <v>16</v>
      </c>
      <c r="N2" s="1053">
        <f>SU_12001_m+SU_12001_p</f>
        <v>9.0687098494115101</v>
      </c>
      <c r="O2" s="259"/>
    </row>
    <row r="3" spans="1:15" x14ac:dyDescent="0.25">
      <c r="A3" s="1054" t="s">
        <v>3</v>
      </c>
      <c r="B3" s="16" t="str">
        <f>'SU A1200'!B3</f>
        <v>Suspension &amp; Shocks</v>
      </c>
      <c r="C3" s="1049"/>
      <c r="D3" s="1052" t="s">
        <v>6</v>
      </c>
      <c r="E3" s="87"/>
      <c r="F3" s="1049"/>
      <c r="G3" s="1049"/>
      <c r="H3" s="1049"/>
      <c r="I3" s="1049"/>
      <c r="J3" s="1049"/>
      <c r="K3" s="1049"/>
      <c r="L3" s="1049"/>
      <c r="M3" s="1055" t="s">
        <v>4</v>
      </c>
      <c r="N3" s="1056">
        <v>1</v>
      </c>
      <c r="O3" s="259"/>
    </row>
    <row r="4" spans="1:15" x14ac:dyDescent="0.25">
      <c r="A4" s="1054" t="s">
        <v>5</v>
      </c>
      <c r="B4" s="87" t="str">
        <f>'SU A1200'!B4</f>
        <v>Front Pullrod</v>
      </c>
      <c r="C4" s="1049"/>
      <c r="D4" s="1055" t="s">
        <v>8</v>
      </c>
      <c r="E4" s="1049"/>
      <c r="F4" s="1049"/>
      <c r="G4" s="1049"/>
      <c r="H4" s="1049"/>
      <c r="I4" s="1049"/>
      <c r="J4" s="1052" t="s">
        <v>6</v>
      </c>
      <c r="K4" s="1049"/>
      <c r="L4" s="1049"/>
      <c r="M4" s="1049"/>
      <c r="N4" s="1049"/>
      <c r="O4" s="259"/>
    </row>
    <row r="5" spans="1:15" x14ac:dyDescent="0.25">
      <c r="A5" s="1054" t="s">
        <v>15</v>
      </c>
      <c r="B5" s="730" t="s">
        <v>402</v>
      </c>
      <c r="C5" s="1049"/>
      <c r="D5" s="1055" t="s">
        <v>12</v>
      </c>
      <c r="E5" s="1049"/>
      <c r="F5" s="1049"/>
      <c r="G5" s="1049"/>
      <c r="H5" s="1049"/>
      <c r="I5" s="1049"/>
      <c r="J5" s="1055" t="s">
        <v>8</v>
      </c>
      <c r="K5" s="1049"/>
      <c r="L5" s="1049"/>
      <c r="M5" s="1052" t="s">
        <v>9</v>
      </c>
      <c r="N5" s="1053">
        <f>N2*SU_12001_q</f>
        <v>9.0687098494115101</v>
      </c>
      <c r="O5" s="259"/>
    </row>
    <row r="6" spans="1:15" x14ac:dyDescent="0.25">
      <c r="A6" s="1054" t="s">
        <v>7</v>
      </c>
      <c r="B6" s="56" t="s">
        <v>521</v>
      </c>
      <c r="C6" s="1049"/>
      <c r="D6" s="1049"/>
      <c r="E6" s="1049"/>
      <c r="F6" s="1049"/>
      <c r="G6" s="1049"/>
      <c r="H6" s="1049"/>
      <c r="I6" s="1049"/>
      <c r="J6" s="1055" t="s">
        <v>12</v>
      </c>
      <c r="K6" s="1049"/>
      <c r="L6" s="1049"/>
      <c r="M6" s="1049"/>
      <c r="N6" s="1049"/>
      <c r="O6" s="259"/>
    </row>
    <row r="7" spans="1:15" x14ac:dyDescent="0.25">
      <c r="A7" s="1054" t="s">
        <v>10</v>
      </c>
      <c r="B7" s="16" t="s">
        <v>11</v>
      </c>
      <c r="C7" s="1049"/>
      <c r="D7" s="1049"/>
      <c r="E7" s="1049"/>
      <c r="F7" s="1049"/>
      <c r="G7" s="1049"/>
      <c r="H7" s="1049"/>
      <c r="I7" s="1049"/>
      <c r="J7" s="1049"/>
      <c r="K7" s="1049"/>
      <c r="L7" s="1049"/>
      <c r="M7" s="1049"/>
      <c r="N7" s="1049"/>
      <c r="O7" s="259"/>
    </row>
    <row r="8" spans="1:15" x14ac:dyDescent="0.25">
      <c r="A8" s="1054" t="s">
        <v>13</v>
      </c>
      <c r="B8" s="16"/>
      <c r="C8" s="1049"/>
      <c r="D8" s="1049"/>
      <c r="E8" s="1049"/>
      <c r="F8" s="1049"/>
      <c r="G8" s="1049"/>
      <c r="H8" s="1049"/>
      <c r="I8" s="1049"/>
      <c r="J8" s="1049"/>
      <c r="K8" s="1049"/>
      <c r="L8" s="1049"/>
      <c r="M8" s="1049"/>
      <c r="N8" s="1049"/>
      <c r="O8" s="259"/>
    </row>
    <row r="9" spans="1:15" x14ac:dyDescent="0.25">
      <c r="A9" s="1057"/>
      <c r="B9" s="1049"/>
      <c r="C9" s="1049"/>
      <c r="D9" s="1049"/>
      <c r="E9" s="1049"/>
      <c r="F9" s="1049"/>
      <c r="G9" s="1049"/>
      <c r="H9" s="1049"/>
      <c r="I9" s="1049"/>
      <c r="J9" s="1049"/>
      <c r="K9" s="1049"/>
      <c r="L9" s="1049"/>
      <c r="M9" s="1049"/>
      <c r="N9" s="1049"/>
      <c r="O9" s="259"/>
    </row>
    <row r="10" spans="1:15" x14ac:dyDescent="0.25">
      <c r="A10" s="1058" t="s">
        <v>14</v>
      </c>
      <c r="B10" s="1059" t="s">
        <v>19</v>
      </c>
      <c r="C10" s="1059" t="s">
        <v>20</v>
      </c>
      <c r="D10" s="1059" t="s">
        <v>21</v>
      </c>
      <c r="E10" s="1059" t="s">
        <v>22</v>
      </c>
      <c r="F10" s="1059" t="s">
        <v>23</v>
      </c>
      <c r="G10" s="1059" t="s">
        <v>24</v>
      </c>
      <c r="H10" s="1059" t="s">
        <v>25</v>
      </c>
      <c r="I10" s="1059" t="s">
        <v>26</v>
      </c>
      <c r="J10" s="1059" t="s">
        <v>27</v>
      </c>
      <c r="K10" s="1059" t="s">
        <v>28</v>
      </c>
      <c r="L10" s="1059" t="s">
        <v>29</v>
      </c>
      <c r="M10" s="1059" t="s">
        <v>17</v>
      </c>
      <c r="N10" s="1059" t="s">
        <v>18</v>
      </c>
      <c r="O10" s="259"/>
    </row>
    <row r="11" spans="1:15" ht="15" customHeight="1" x14ac:dyDescent="0.25">
      <c r="A11" s="1060">
        <v>10</v>
      </c>
      <c r="B11" s="790" t="s">
        <v>408</v>
      </c>
      <c r="C11" s="1061" t="s">
        <v>407</v>
      </c>
      <c r="D11" s="1062">
        <v>200</v>
      </c>
      <c r="E11" s="1063">
        <f>J11*K11*L11</f>
        <v>4.0305377108495605E-2</v>
      </c>
      <c r="F11" s="1064" t="s">
        <v>141</v>
      </c>
      <c r="G11" s="1064"/>
      <c r="H11" s="1065"/>
      <c r="I11" s="1066" t="s">
        <v>406</v>
      </c>
      <c r="J11" s="1066">
        <f>PI()*((8*10^-3)^2-(6*10^-3)^2)</f>
        <v>8.7964594300514196E-5</v>
      </c>
      <c r="K11" s="1067">
        <v>0.28999999999999998</v>
      </c>
      <c r="L11" s="1068">
        <v>1580</v>
      </c>
      <c r="M11" s="1068">
        <v>1</v>
      </c>
      <c r="N11" s="1062">
        <f>D11*E11</f>
        <v>8.0610754216991207</v>
      </c>
      <c r="O11" s="259"/>
    </row>
    <row r="12" spans="1:15" x14ac:dyDescent="0.25">
      <c r="A12" s="1069"/>
      <c r="B12" s="1070"/>
      <c r="C12" s="1070"/>
      <c r="D12" s="1070"/>
      <c r="E12" s="1070"/>
      <c r="F12" s="1070"/>
      <c r="G12" s="1070"/>
      <c r="H12" s="1070"/>
      <c r="I12" s="1070"/>
      <c r="J12" s="1070"/>
      <c r="K12" s="1070"/>
      <c r="L12" s="1070"/>
      <c r="M12" s="1071" t="s">
        <v>18</v>
      </c>
      <c r="N12" s="1072">
        <f>N11</f>
        <v>8.0610754216991207</v>
      </c>
      <c r="O12" s="259"/>
    </row>
    <row r="13" spans="1:15" x14ac:dyDescent="0.25">
      <c r="A13" s="1057"/>
      <c r="B13" s="1049"/>
      <c r="C13" s="1049"/>
      <c r="D13" s="1049"/>
      <c r="E13" s="1049"/>
      <c r="F13" s="1049"/>
      <c r="G13" s="1049"/>
      <c r="H13" s="1049"/>
      <c r="I13" s="1049"/>
      <c r="J13" s="1049"/>
      <c r="K13" s="1049"/>
      <c r="L13" s="1049"/>
      <c r="M13" s="1049"/>
      <c r="N13" s="1049"/>
      <c r="O13" s="259"/>
    </row>
    <row r="14" spans="1:15" x14ac:dyDescent="0.25">
      <c r="A14" s="1058" t="s">
        <v>14</v>
      </c>
      <c r="B14" s="1059" t="s">
        <v>31</v>
      </c>
      <c r="C14" s="1059" t="s">
        <v>20</v>
      </c>
      <c r="D14" s="1059" t="s">
        <v>21</v>
      </c>
      <c r="E14" s="1059" t="s">
        <v>32</v>
      </c>
      <c r="F14" s="1059" t="s">
        <v>17</v>
      </c>
      <c r="G14" s="1059" t="s">
        <v>33</v>
      </c>
      <c r="H14" s="1059" t="s">
        <v>34</v>
      </c>
      <c r="I14" s="1059" t="s">
        <v>18</v>
      </c>
      <c r="J14" s="1070"/>
      <c r="K14" s="1070"/>
      <c r="L14" s="1070"/>
      <c r="M14" s="1070"/>
      <c r="N14" s="1070"/>
      <c r="O14" s="259"/>
    </row>
    <row r="15" spans="1:15" x14ac:dyDescent="0.25">
      <c r="A15" s="1073">
        <v>10</v>
      </c>
      <c r="B15" s="244" t="s">
        <v>405</v>
      </c>
      <c r="C15" s="878" t="s">
        <v>404</v>
      </c>
      <c r="D15" s="248">
        <v>25</v>
      </c>
      <c r="E15" s="244" t="s">
        <v>141</v>
      </c>
      <c r="F15" s="877">
        <f>E11</f>
        <v>4.0305377108495605E-2</v>
      </c>
      <c r="G15" s="876"/>
      <c r="H15" s="876"/>
      <c r="I15" s="32">
        <f>D15*F15</f>
        <v>1.0076344277123901</v>
      </c>
      <c r="J15" s="1049"/>
      <c r="K15" s="1049"/>
      <c r="L15" s="1049"/>
      <c r="M15" s="1049"/>
      <c r="N15" s="1049"/>
      <c r="O15" s="259"/>
    </row>
    <row r="16" spans="1:15" x14ac:dyDescent="0.25">
      <c r="A16" s="1069"/>
      <c r="B16" s="1070"/>
      <c r="C16" s="1070"/>
      <c r="D16" s="1070"/>
      <c r="E16" s="1070"/>
      <c r="F16" s="1070"/>
      <c r="G16" s="1070"/>
      <c r="H16" s="1071" t="s">
        <v>18</v>
      </c>
      <c r="I16" s="1074">
        <f>I15</f>
        <v>1.0076344277123901</v>
      </c>
      <c r="J16" s="1070"/>
      <c r="K16" s="1070"/>
      <c r="L16" s="1070"/>
      <c r="M16" s="1070"/>
      <c r="N16" s="1070"/>
      <c r="O16" s="259"/>
    </row>
    <row r="17" spans="1:15" ht="15.75" thickBot="1" x14ac:dyDescent="0.3">
      <c r="A17" s="1075"/>
      <c r="B17" s="1076"/>
      <c r="C17" s="1076"/>
      <c r="D17" s="1076"/>
      <c r="E17" s="1076"/>
      <c r="F17" s="1076"/>
      <c r="G17" s="1076"/>
      <c r="H17" s="1077"/>
      <c r="I17" s="1078"/>
      <c r="J17" s="1076"/>
      <c r="K17" s="1076"/>
      <c r="L17" s="1076"/>
      <c r="M17" s="1076"/>
      <c r="N17" s="1076"/>
      <c r="O17" s="281"/>
    </row>
    <row r="18" spans="1:15" x14ac:dyDescent="0.25">
      <c r="A18" s="1079"/>
      <c r="B18" s="1079"/>
      <c r="C18" s="1079"/>
      <c r="D18" s="1079"/>
      <c r="E18" s="1079"/>
      <c r="F18" s="1079"/>
      <c r="G18" s="1079"/>
      <c r="H18" s="1079"/>
      <c r="I18" s="1079"/>
      <c r="J18" s="1079"/>
      <c r="K18" s="1079"/>
      <c r="L18" s="1079"/>
      <c r="M18" s="1079"/>
      <c r="N18" s="1079"/>
    </row>
    <row r="19" spans="1:15" x14ac:dyDescent="0.25">
      <c r="A19" s="1079"/>
      <c r="B19" s="1079"/>
      <c r="C19" s="1079"/>
      <c r="D19" s="1079"/>
      <c r="E19" s="1079"/>
      <c r="F19" s="1079"/>
      <c r="G19" s="1079"/>
      <c r="H19" s="1079"/>
      <c r="I19" s="1079"/>
      <c r="J19" s="1079"/>
      <c r="K19" s="1079"/>
      <c r="L19" s="1079"/>
      <c r="M19" s="1079"/>
      <c r="N19" s="1079"/>
    </row>
    <row r="20" spans="1:15" x14ac:dyDescent="0.25">
      <c r="A20" s="1079"/>
      <c r="B20" s="1079"/>
      <c r="C20" s="1079"/>
      <c r="D20" s="1079"/>
      <c r="E20" s="1079"/>
      <c r="F20" s="1079"/>
      <c r="G20" s="1079"/>
      <c r="H20" s="1079"/>
      <c r="I20" s="1079"/>
      <c r="J20" s="1079"/>
      <c r="K20" s="1079"/>
      <c r="L20" s="1079"/>
      <c r="M20" s="1079"/>
      <c r="N20" s="1079"/>
    </row>
    <row r="21" spans="1:15" x14ac:dyDescent="0.25">
      <c r="A21" s="1079"/>
      <c r="B21" s="1079"/>
      <c r="C21" s="1079"/>
      <c r="D21" s="1079"/>
      <c r="E21" s="1079"/>
      <c r="F21" s="1079"/>
      <c r="G21" s="1079"/>
      <c r="H21" s="1079"/>
      <c r="I21" s="1079"/>
      <c r="J21" s="1079"/>
      <c r="K21" s="1079"/>
      <c r="L21" s="1079"/>
      <c r="M21" s="1079"/>
      <c r="N21" s="1079"/>
    </row>
    <row r="22" spans="1:15" x14ac:dyDescent="0.25">
      <c r="A22" s="16"/>
      <c r="B22" s="1079"/>
      <c r="C22" s="1079"/>
      <c r="D22" s="1079"/>
      <c r="E22" s="1079"/>
      <c r="F22" s="1079"/>
      <c r="G22" s="1079"/>
      <c r="H22" s="1079"/>
      <c r="I22" s="1079"/>
      <c r="J22" s="1079"/>
      <c r="K22" s="1079"/>
      <c r="L22" s="1079"/>
      <c r="M22" s="1079"/>
      <c r="N22" s="1079"/>
    </row>
    <row r="23" spans="1:15" x14ac:dyDescent="0.25">
      <c r="A23" s="16"/>
      <c r="B23" s="1079"/>
      <c r="C23" s="1079"/>
      <c r="D23" s="1079"/>
      <c r="E23" s="1079"/>
      <c r="F23" s="1079"/>
      <c r="G23" s="1079"/>
      <c r="H23" s="1079"/>
      <c r="I23" s="1079"/>
      <c r="J23" s="1079"/>
      <c r="K23" s="1079"/>
      <c r="L23" s="1079"/>
      <c r="M23" s="1079"/>
      <c r="N23" s="1079"/>
    </row>
    <row r="24" spans="1:15" x14ac:dyDescent="0.25">
      <c r="A24" s="87"/>
      <c r="B24" s="1079"/>
      <c r="C24" s="1079"/>
      <c r="D24" s="1079"/>
      <c r="E24" s="1079"/>
      <c r="F24" s="1079"/>
      <c r="G24" s="1079"/>
      <c r="H24" s="1079"/>
      <c r="I24" s="1079"/>
      <c r="J24" s="1079"/>
      <c r="K24" s="1079"/>
      <c r="L24" s="1079"/>
      <c r="M24" s="1079"/>
      <c r="N24" s="1079"/>
    </row>
    <row r="25" spans="1:15" x14ac:dyDescent="0.25">
      <c r="A25" s="18"/>
      <c r="B25" s="1079"/>
      <c r="C25" s="1079"/>
      <c r="D25" s="1079"/>
      <c r="E25" s="1079"/>
      <c r="F25" s="1079"/>
      <c r="G25" s="1079"/>
      <c r="H25" s="1079"/>
      <c r="I25" s="1079"/>
      <c r="J25" s="1079"/>
      <c r="K25" s="1079"/>
      <c r="L25" s="1079"/>
      <c r="M25" s="1079"/>
      <c r="N25" s="1079"/>
    </row>
    <row r="26" spans="1:15" x14ac:dyDescent="0.25">
      <c r="A26" s="28"/>
      <c r="B26" s="1079"/>
      <c r="C26" s="1079"/>
      <c r="D26" s="1079"/>
      <c r="E26" s="1079"/>
      <c r="F26" s="1079"/>
      <c r="G26" s="1079"/>
      <c r="H26" s="1079"/>
      <c r="I26" s="1079"/>
      <c r="J26" s="1079"/>
      <c r="K26" s="1079"/>
      <c r="L26" s="1079"/>
      <c r="M26" s="1079"/>
      <c r="N26" s="1079"/>
    </row>
    <row r="27" spans="1:15" x14ac:dyDescent="0.25">
      <c r="A27" s="16"/>
      <c r="B27" s="1079"/>
      <c r="C27" s="1079"/>
      <c r="D27" s="1079"/>
      <c r="E27" s="1079"/>
      <c r="F27" s="1079"/>
      <c r="G27" s="1079"/>
      <c r="H27" s="1079"/>
      <c r="I27" s="1079"/>
      <c r="J27" s="1079"/>
      <c r="K27" s="1079"/>
      <c r="L27" s="1079"/>
      <c r="M27" s="1079"/>
      <c r="N27" s="1079"/>
    </row>
    <row r="28" spans="1:15" x14ac:dyDescent="0.25">
      <c r="A28" s="16"/>
      <c r="B28" s="1079"/>
      <c r="C28" s="1079"/>
      <c r="D28" s="1079"/>
      <c r="E28" s="1079"/>
      <c r="F28" s="1079"/>
      <c r="G28" s="1079"/>
      <c r="H28" s="1079"/>
      <c r="I28" s="1079"/>
      <c r="J28" s="1079"/>
      <c r="K28" s="1079"/>
      <c r="L28" s="1079"/>
      <c r="M28" s="1079"/>
      <c r="N28" s="1079"/>
    </row>
    <row r="29" spans="1:15" x14ac:dyDescent="0.25">
      <c r="A29" s="1079"/>
      <c r="B29" s="1079"/>
      <c r="C29" s="1079"/>
      <c r="D29" s="1079"/>
      <c r="E29" s="1079"/>
      <c r="F29" s="1079"/>
      <c r="G29" s="1079"/>
      <c r="H29" s="1079"/>
      <c r="I29" s="1079"/>
      <c r="J29" s="1079"/>
      <c r="K29" s="1079"/>
      <c r="L29" s="1079"/>
      <c r="M29" s="1079"/>
      <c r="N29" s="1079"/>
    </row>
    <row r="30" spans="1:15" x14ac:dyDescent="0.25">
      <c r="A30" s="1079"/>
      <c r="B30" s="1079"/>
      <c r="C30" s="1079"/>
      <c r="D30" s="1079"/>
      <c r="E30" s="1079"/>
      <c r="F30" s="1079"/>
      <c r="G30" s="1079"/>
      <c r="H30" s="1079"/>
      <c r="I30" s="1079"/>
      <c r="J30" s="1079"/>
      <c r="K30" s="1079"/>
      <c r="L30" s="1079"/>
      <c r="M30" s="1079"/>
      <c r="N30" s="1079"/>
    </row>
    <row r="31" spans="1:15" x14ac:dyDescent="0.25">
      <c r="A31" s="1079"/>
      <c r="B31" s="1079"/>
      <c r="C31" s="1079"/>
      <c r="D31" s="1079"/>
      <c r="E31" s="1079"/>
      <c r="F31" s="1079"/>
      <c r="G31" s="1079"/>
      <c r="H31" s="1079"/>
      <c r="I31" s="1079"/>
      <c r="J31" s="1079"/>
      <c r="K31" s="1079"/>
      <c r="L31" s="1079"/>
      <c r="M31" s="1079"/>
      <c r="N31" s="1079"/>
    </row>
    <row r="32" spans="1:15" x14ac:dyDescent="0.25">
      <c r="A32" s="1079"/>
      <c r="B32" s="1079"/>
      <c r="C32" s="1079"/>
      <c r="D32" s="1079"/>
      <c r="E32" s="1079"/>
      <c r="F32" s="1079"/>
      <c r="G32" s="1079"/>
      <c r="H32" s="1079"/>
      <c r="I32" s="1079"/>
      <c r="J32" s="1079"/>
      <c r="K32" s="1079"/>
      <c r="L32" s="1079"/>
      <c r="M32" s="1079"/>
      <c r="N32" s="1079"/>
    </row>
    <row r="33" spans="1:14" x14ac:dyDescent="0.25">
      <c r="A33" s="1079"/>
      <c r="B33" s="1079"/>
      <c r="C33" s="1079"/>
      <c r="D33" s="1079"/>
      <c r="E33" s="1079"/>
      <c r="F33" s="1079"/>
      <c r="G33" s="1079"/>
      <c r="H33" s="1079"/>
      <c r="I33" s="1079"/>
      <c r="J33" s="1079"/>
      <c r="K33" s="1079"/>
      <c r="L33" s="1079"/>
      <c r="M33" s="1079"/>
      <c r="N33" s="1079"/>
    </row>
    <row r="34" spans="1:14" x14ac:dyDescent="0.25">
      <c r="A34" s="1079"/>
      <c r="B34" s="1079"/>
      <c r="C34" s="1079"/>
      <c r="D34" s="1079"/>
      <c r="E34" s="1079"/>
      <c r="F34" s="1079"/>
      <c r="G34" s="1079"/>
      <c r="H34" s="1079"/>
      <c r="I34" s="1079"/>
      <c r="J34" s="1079"/>
      <c r="K34" s="1079"/>
      <c r="L34" s="1079"/>
      <c r="M34" s="1079"/>
      <c r="N34" s="1079"/>
    </row>
    <row r="35" spans="1:14" x14ac:dyDescent="0.25">
      <c r="A35" s="1079"/>
      <c r="B35" s="1079"/>
      <c r="C35" s="1079"/>
      <c r="D35" s="1079"/>
      <c r="E35" s="1079"/>
      <c r="F35" s="1079"/>
      <c r="G35" s="1079"/>
      <c r="H35" s="1079"/>
      <c r="I35" s="1079"/>
      <c r="J35" s="1079"/>
      <c r="K35" s="1079"/>
      <c r="L35" s="1079"/>
      <c r="M35" s="1079"/>
      <c r="N35" s="1079"/>
    </row>
    <row r="36" spans="1:14" x14ac:dyDescent="0.25">
      <c r="A36" s="1079"/>
      <c r="B36" s="1079"/>
      <c r="C36" s="1079"/>
      <c r="D36" s="1079"/>
      <c r="E36" s="1079"/>
      <c r="F36" s="1079"/>
      <c r="G36" s="1079"/>
      <c r="H36" s="1079"/>
      <c r="I36" s="1079"/>
      <c r="J36" s="1079"/>
      <c r="K36" s="1079"/>
      <c r="L36" s="1079"/>
      <c r="M36" s="1079"/>
      <c r="N36" s="1079"/>
    </row>
    <row r="37" spans="1:14" x14ac:dyDescent="0.25">
      <c r="A37" s="1079"/>
      <c r="B37" s="1079"/>
      <c r="C37" s="1079"/>
      <c r="D37" s="1079"/>
      <c r="E37" s="1079"/>
      <c r="F37" s="1079"/>
      <c r="G37" s="1079"/>
      <c r="H37" s="1079"/>
      <c r="I37" s="1079"/>
      <c r="J37" s="1079"/>
      <c r="K37" s="1079"/>
      <c r="L37" s="1079"/>
      <c r="M37" s="1079"/>
      <c r="N37" s="1079"/>
    </row>
    <row r="38" spans="1:14" x14ac:dyDescent="0.25">
      <c r="A38" s="1079"/>
      <c r="B38" s="1079"/>
      <c r="C38" s="1079"/>
      <c r="D38" s="1079"/>
      <c r="E38" s="1079"/>
      <c r="F38" s="1079"/>
      <c r="G38" s="1079"/>
      <c r="H38" s="1079"/>
      <c r="I38" s="1079"/>
      <c r="J38" s="1079"/>
      <c r="K38" s="1079"/>
      <c r="L38" s="1079"/>
      <c r="M38" s="1079"/>
      <c r="N38" s="1079"/>
    </row>
    <row r="39" spans="1:14" x14ac:dyDescent="0.25">
      <c r="A39" s="1079"/>
      <c r="B39" s="1079"/>
      <c r="C39" s="1079"/>
      <c r="D39" s="1079"/>
      <c r="E39" s="1079"/>
      <c r="F39" s="1079"/>
      <c r="G39" s="1079"/>
      <c r="H39" s="1079"/>
      <c r="I39" s="1079"/>
      <c r="J39" s="1079"/>
      <c r="K39" s="1079"/>
      <c r="L39" s="1079"/>
      <c r="M39" s="1079"/>
      <c r="N39" s="1079"/>
    </row>
    <row r="40" spans="1:14" x14ac:dyDescent="0.25">
      <c r="A40" s="1079"/>
      <c r="B40" s="1079"/>
      <c r="C40" s="1079"/>
      <c r="D40" s="1079"/>
      <c r="E40" s="1079"/>
      <c r="F40" s="1079"/>
      <c r="G40" s="1079"/>
      <c r="H40" s="1079"/>
      <c r="I40" s="1079"/>
      <c r="J40" s="1079"/>
      <c r="K40" s="1079"/>
      <c r="L40" s="1079"/>
      <c r="M40" s="1079"/>
      <c r="N40" s="1079"/>
    </row>
    <row r="41" spans="1:14" x14ac:dyDescent="0.25">
      <c r="A41" s="1079"/>
      <c r="B41" s="1079"/>
      <c r="C41" s="1079"/>
      <c r="D41" s="1079"/>
      <c r="E41" s="1079"/>
      <c r="F41" s="1079"/>
      <c r="G41" s="1079"/>
      <c r="H41" s="1079"/>
      <c r="I41" s="1079"/>
      <c r="J41" s="1079"/>
      <c r="K41" s="1079"/>
      <c r="L41" s="1079"/>
      <c r="M41" s="1079"/>
      <c r="N41" s="1079"/>
    </row>
    <row r="42" spans="1:14" x14ac:dyDescent="0.25">
      <c r="A42" s="1079"/>
      <c r="B42" s="1079"/>
      <c r="C42" s="1079"/>
      <c r="D42" s="1079"/>
      <c r="E42" s="1079"/>
      <c r="F42" s="1079"/>
      <c r="G42" s="1079"/>
      <c r="H42" s="1079"/>
      <c r="I42" s="1079"/>
      <c r="J42" s="1079"/>
      <c r="K42" s="1079"/>
      <c r="L42" s="1079"/>
      <c r="M42" s="1079"/>
      <c r="N42" s="1079"/>
    </row>
    <row r="43" spans="1:14" x14ac:dyDescent="0.25">
      <c r="A43" s="1079"/>
      <c r="B43" s="1079"/>
      <c r="C43" s="1079"/>
      <c r="D43" s="1079"/>
      <c r="E43" s="1079"/>
      <c r="F43" s="1079"/>
      <c r="G43" s="1079"/>
      <c r="H43" s="1079"/>
      <c r="I43" s="1079"/>
      <c r="J43" s="1079"/>
      <c r="K43" s="1079"/>
      <c r="L43" s="1079"/>
      <c r="M43" s="1079"/>
      <c r="N43" s="1079"/>
    </row>
    <row r="44" spans="1:14" x14ac:dyDescent="0.25">
      <c r="A44" s="1079"/>
      <c r="B44" s="1079"/>
      <c r="C44" s="1079"/>
      <c r="D44" s="1079"/>
      <c r="E44" s="1079"/>
      <c r="F44" s="1079"/>
      <c r="G44" s="1079"/>
      <c r="H44" s="1079"/>
      <c r="I44" s="1079"/>
      <c r="J44" s="1079"/>
      <c r="K44" s="1079"/>
      <c r="L44" s="1079"/>
      <c r="M44" s="1079"/>
      <c r="N44" s="1079"/>
    </row>
    <row r="45" spans="1:14" x14ac:dyDescent="0.25">
      <c r="A45" s="1079"/>
      <c r="B45" s="1079"/>
      <c r="C45" s="1079"/>
      <c r="D45" s="1079"/>
      <c r="E45" s="1079"/>
      <c r="F45" s="1079"/>
      <c r="G45" s="1079"/>
      <c r="H45" s="1079"/>
      <c r="I45" s="1079"/>
      <c r="J45" s="1079"/>
      <c r="K45" s="1079"/>
      <c r="L45" s="1079"/>
      <c r="M45" s="1079"/>
      <c r="N45" s="1079"/>
    </row>
    <row r="46" spans="1:14" x14ac:dyDescent="0.25">
      <c r="A46" s="1079"/>
      <c r="B46" s="1079"/>
      <c r="C46" s="1079"/>
      <c r="D46" s="1079"/>
      <c r="E46" s="1079"/>
      <c r="F46" s="1079"/>
      <c r="G46" s="1079"/>
      <c r="H46" s="1079"/>
      <c r="I46" s="1079"/>
      <c r="J46" s="1079"/>
      <c r="K46" s="1079"/>
      <c r="L46" s="1079"/>
      <c r="M46" s="1079"/>
      <c r="N46" s="1079"/>
    </row>
    <row r="47" spans="1:14" x14ac:dyDescent="0.25">
      <c r="A47" s="1079"/>
      <c r="B47" s="1079"/>
      <c r="C47" s="1079"/>
      <c r="D47" s="1079"/>
      <c r="E47" s="1079"/>
      <c r="F47" s="1079"/>
      <c r="G47" s="1079"/>
      <c r="H47" s="1079"/>
      <c r="I47" s="1079"/>
      <c r="J47" s="1079"/>
      <c r="K47" s="1079"/>
      <c r="L47" s="1079"/>
      <c r="M47" s="1079"/>
      <c r="N47" s="1079"/>
    </row>
    <row r="48" spans="1:14" x14ac:dyDescent="0.25">
      <c r="A48" s="1079"/>
      <c r="B48" s="1079"/>
      <c r="C48" s="1079"/>
      <c r="D48" s="1079"/>
      <c r="E48" s="1079"/>
      <c r="F48" s="1079"/>
      <c r="G48" s="1079"/>
      <c r="H48" s="1079"/>
      <c r="I48" s="1079"/>
      <c r="J48" s="1079"/>
      <c r="K48" s="1079"/>
      <c r="L48" s="1079"/>
      <c r="M48" s="1079"/>
      <c r="N48" s="1079"/>
    </row>
    <row r="49" spans="1:14" x14ac:dyDescent="0.25">
      <c r="A49" s="1079"/>
      <c r="B49" s="1079"/>
      <c r="C49" s="1079"/>
      <c r="D49" s="1079"/>
      <c r="E49" s="1079"/>
      <c r="F49" s="1079"/>
      <c r="G49" s="1079"/>
      <c r="H49" s="1079"/>
      <c r="I49" s="1079"/>
      <c r="J49" s="1079"/>
      <c r="K49" s="1079"/>
      <c r="L49" s="1079"/>
      <c r="M49" s="1079"/>
      <c r="N49" s="1079"/>
    </row>
    <row r="50" spans="1:14" x14ac:dyDescent="0.25">
      <c r="A50" s="1079"/>
      <c r="B50" s="1079"/>
      <c r="C50" s="1079"/>
      <c r="D50" s="1079"/>
      <c r="E50" s="1079"/>
      <c r="F50" s="1079"/>
      <c r="G50" s="1079"/>
      <c r="H50" s="1079"/>
      <c r="I50" s="1079"/>
      <c r="J50" s="1079"/>
      <c r="K50" s="1079"/>
      <c r="L50" s="1079"/>
      <c r="M50" s="1079"/>
      <c r="N50" s="1079"/>
    </row>
    <row r="51" spans="1:14" x14ac:dyDescent="0.25">
      <c r="A51" s="1079"/>
      <c r="B51" s="1079"/>
      <c r="C51" s="1079"/>
      <c r="D51" s="1079"/>
      <c r="E51" s="1079"/>
      <c r="F51" s="1079"/>
      <c r="G51" s="1079"/>
      <c r="H51" s="1079"/>
      <c r="I51" s="1079"/>
      <c r="J51" s="1079"/>
      <c r="K51" s="1079"/>
      <c r="L51" s="1079"/>
      <c r="M51" s="1079"/>
      <c r="N51" s="1079"/>
    </row>
    <row r="52" spans="1:14" x14ac:dyDescent="0.25">
      <c r="A52" s="1079"/>
      <c r="B52" s="1079"/>
      <c r="C52" s="1079"/>
      <c r="D52" s="1079"/>
      <c r="E52" s="1079"/>
      <c r="F52" s="1079"/>
      <c r="G52" s="1079"/>
      <c r="H52" s="1079"/>
      <c r="I52" s="1079"/>
      <c r="J52" s="1079"/>
      <c r="K52" s="1079"/>
      <c r="L52" s="1079"/>
      <c r="M52" s="1079"/>
      <c r="N52" s="1079"/>
    </row>
    <row r="53" spans="1:14" x14ac:dyDescent="0.25">
      <c r="A53" s="1079"/>
      <c r="B53" s="1079"/>
      <c r="C53" s="1079"/>
      <c r="D53" s="1079"/>
      <c r="E53" s="1079"/>
      <c r="F53" s="1079"/>
      <c r="G53" s="1079"/>
      <c r="H53" s="1079"/>
      <c r="I53" s="1079"/>
      <c r="J53" s="1079"/>
      <c r="K53" s="1079"/>
      <c r="L53" s="1079"/>
      <c r="M53" s="1079"/>
      <c r="N53" s="1079"/>
    </row>
    <row r="54" spans="1:14" x14ac:dyDescent="0.25">
      <c r="A54" s="1079"/>
      <c r="B54" s="1079"/>
      <c r="C54" s="1079"/>
      <c r="D54" s="1079"/>
      <c r="E54" s="1079"/>
      <c r="F54" s="1079"/>
      <c r="G54" s="1079"/>
      <c r="H54" s="1079"/>
      <c r="I54" s="1079"/>
      <c r="J54" s="1079"/>
      <c r="K54" s="1079"/>
      <c r="L54" s="1079"/>
      <c r="M54" s="1079"/>
      <c r="N54" s="1079"/>
    </row>
    <row r="55" spans="1:14" x14ac:dyDescent="0.25">
      <c r="A55" s="1079"/>
      <c r="B55" s="1079"/>
      <c r="C55" s="1079"/>
      <c r="D55" s="1079"/>
      <c r="E55" s="1079"/>
      <c r="F55" s="1079"/>
      <c r="G55" s="1079"/>
      <c r="H55" s="1079"/>
      <c r="I55" s="1079"/>
      <c r="J55" s="1079"/>
      <c r="K55" s="1079"/>
      <c r="L55" s="1079"/>
      <c r="M55" s="1079"/>
      <c r="N55" s="1079"/>
    </row>
    <row r="56" spans="1:14" x14ac:dyDescent="0.25">
      <c r="A56" s="1079"/>
      <c r="B56" s="1079"/>
      <c r="C56" s="1079"/>
      <c r="D56" s="1079"/>
      <c r="E56" s="1079"/>
      <c r="F56" s="1079"/>
      <c r="G56" s="1079"/>
      <c r="H56" s="1079"/>
      <c r="I56" s="1079"/>
      <c r="J56" s="1079"/>
      <c r="K56" s="1079"/>
      <c r="L56" s="1079"/>
      <c r="M56" s="1079"/>
      <c r="N56" s="1079"/>
    </row>
    <row r="57" spans="1:14" x14ac:dyDescent="0.25">
      <c r="A57" s="1079"/>
      <c r="B57" s="1079"/>
      <c r="C57" s="1079"/>
      <c r="D57" s="1079"/>
      <c r="E57" s="1079"/>
      <c r="F57" s="1079"/>
      <c r="G57" s="1079"/>
      <c r="H57" s="1079"/>
      <c r="I57" s="1079"/>
      <c r="J57" s="1079"/>
      <c r="K57" s="1079"/>
      <c r="L57" s="1079"/>
      <c r="M57" s="1079"/>
      <c r="N57" s="1079"/>
    </row>
    <row r="58" spans="1:14" x14ac:dyDescent="0.25">
      <c r="A58" s="1079"/>
      <c r="B58" s="1079"/>
      <c r="C58" s="1079"/>
      <c r="D58" s="1079"/>
      <c r="E58" s="1079"/>
      <c r="F58" s="1079"/>
      <c r="G58" s="1079"/>
      <c r="H58" s="1079"/>
      <c r="I58" s="1079"/>
      <c r="J58" s="1079"/>
      <c r="K58" s="1079"/>
      <c r="L58" s="1079"/>
      <c r="M58" s="1079"/>
      <c r="N58" s="1079"/>
    </row>
    <row r="59" spans="1:14" x14ac:dyDescent="0.25">
      <c r="A59" s="1079"/>
      <c r="B59" s="1079"/>
      <c r="C59" s="1079"/>
      <c r="D59" s="1079"/>
      <c r="E59" s="1079"/>
      <c r="F59" s="1079"/>
      <c r="G59" s="1079"/>
      <c r="H59" s="1079"/>
      <c r="I59" s="1079"/>
      <c r="J59" s="1079"/>
      <c r="K59" s="1079"/>
      <c r="L59" s="1079"/>
      <c r="M59" s="1079"/>
      <c r="N59" s="1079"/>
    </row>
    <row r="60" spans="1:14" x14ac:dyDescent="0.25">
      <c r="A60" s="1079"/>
      <c r="B60" s="1079"/>
      <c r="C60" s="1079"/>
      <c r="D60" s="1079"/>
      <c r="E60" s="1079"/>
      <c r="F60" s="1079"/>
      <c r="G60" s="1079"/>
      <c r="H60" s="1079"/>
      <c r="I60" s="1079"/>
      <c r="J60" s="1079"/>
      <c r="K60" s="1079"/>
      <c r="L60" s="1079"/>
      <c r="M60" s="1079"/>
      <c r="N60" s="1079"/>
    </row>
    <row r="61" spans="1:14" x14ac:dyDescent="0.25">
      <c r="A61" s="1079"/>
      <c r="B61" s="1079"/>
      <c r="C61" s="1079"/>
      <c r="D61" s="1079"/>
      <c r="E61" s="1079"/>
      <c r="F61" s="1079"/>
      <c r="G61" s="1079"/>
      <c r="H61" s="1079"/>
      <c r="I61" s="1079"/>
      <c r="J61" s="1079"/>
      <c r="K61" s="1079"/>
      <c r="L61" s="1079"/>
      <c r="M61" s="1079"/>
      <c r="N61" s="1079"/>
    </row>
    <row r="62" spans="1:14" x14ac:dyDescent="0.25">
      <c r="A62" s="1079"/>
      <c r="B62" s="1079"/>
      <c r="C62" s="1079"/>
      <c r="D62" s="1079"/>
      <c r="E62" s="1079"/>
      <c r="F62" s="1079"/>
      <c r="G62" s="1079"/>
      <c r="H62" s="1079"/>
      <c r="I62" s="1079"/>
      <c r="J62" s="1079"/>
      <c r="K62" s="1079"/>
      <c r="L62" s="1079"/>
      <c r="M62" s="1079"/>
      <c r="N62" s="1079"/>
    </row>
    <row r="63" spans="1:14" x14ac:dyDescent="0.25">
      <c r="A63" s="1079"/>
      <c r="B63" s="1079"/>
      <c r="C63" s="1079"/>
      <c r="D63" s="1079"/>
      <c r="E63" s="1079"/>
      <c r="F63" s="1079"/>
      <c r="G63" s="1079"/>
      <c r="H63" s="1079"/>
      <c r="I63" s="1079"/>
      <c r="J63" s="1079"/>
      <c r="K63" s="1079"/>
      <c r="L63" s="1079"/>
      <c r="M63" s="1079"/>
      <c r="N63" s="1079"/>
    </row>
    <row r="64" spans="1:14" x14ac:dyDescent="0.25">
      <c r="A64" s="1079"/>
      <c r="B64" s="1079"/>
      <c r="C64" s="1079"/>
      <c r="D64" s="1079"/>
      <c r="E64" s="1079"/>
      <c r="F64" s="1079"/>
      <c r="G64" s="1079"/>
      <c r="H64" s="1079"/>
      <c r="I64" s="1079"/>
      <c r="J64" s="1079"/>
      <c r="K64" s="1079"/>
      <c r="L64" s="1079"/>
      <c r="M64" s="1079"/>
      <c r="N64" s="1079"/>
    </row>
    <row r="65" spans="1:14" x14ac:dyDescent="0.25">
      <c r="A65" s="1079"/>
      <c r="B65" s="1079"/>
      <c r="C65" s="1079"/>
      <c r="D65" s="1079"/>
      <c r="E65" s="1079"/>
      <c r="F65" s="1079"/>
      <c r="G65" s="1079"/>
      <c r="H65" s="1079"/>
      <c r="I65" s="1079"/>
      <c r="J65" s="1079"/>
      <c r="K65" s="1079"/>
      <c r="L65" s="1079"/>
      <c r="M65" s="1079"/>
      <c r="N65" s="1079"/>
    </row>
    <row r="66" spans="1:14" x14ac:dyDescent="0.25">
      <c r="A66" s="1079"/>
      <c r="B66" s="1079"/>
      <c r="C66" s="1079"/>
      <c r="D66" s="1079"/>
      <c r="E66" s="1079"/>
      <c r="F66" s="1079"/>
      <c r="G66" s="1079"/>
      <c r="H66" s="1079"/>
      <c r="I66" s="1079"/>
      <c r="J66" s="1079"/>
      <c r="K66" s="1079"/>
      <c r="L66" s="1079"/>
      <c r="M66" s="1079"/>
      <c r="N66" s="1079"/>
    </row>
    <row r="67" spans="1:14" x14ac:dyDescent="0.25">
      <c r="A67" s="1079"/>
      <c r="B67" s="1079"/>
      <c r="C67" s="1079"/>
      <c r="D67" s="1079"/>
      <c r="E67" s="1079"/>
      <c r="F67" s="1079"/>
      <c r="G67" s="1079"/>
      <c r="H67" s="1079"/>
      <c r="I67" s="1079"/>
      <c r="J67" s="1079"/>
      <c r="K67" s="1079"/>
      <c r="L67" s="1079"/>
      <c r="M67" s="1079"/>
      <c r="N67" s="1079"/>
    </row>
    <row r="68" spans="1:14" x14ac:dyDescent="0.25">
      <c r="A68" s="1079"/>
      <c r="B68" s="1079"/>
      <c r="C68" s="1079"/>
      <c r="D68" s="1079"/>
      <c r="E68" s="1079"/>
      <c r="F68" s="1079"/>
      <c r="G68" s="1079"/>
      <c r="H68" s="1079"/>
      <c r="I68" s="1079"/>
      <c r="J68" s="1079"/>
      <c r="K68" s="1079"/>
      <c r="L68" s="1079"/>
      <c r="M68" s="1079"/>
      <c r="N68" s="1079"/>
    </row>
    <row r="69" spans="1:14" x14ac:dyDescent="0.25">
      <c r="A69" s="1079"/>
      <c r="B69" s="1079"/>
      <c r="C69" s="1079"/>
      <c r="D69" s="1079"/>
      <c r="E69" s="1079"/>
      <c r="F69" s="1079"/>
      <c r="G69" s="1079"/>
      <c r="H69" s="1079"/>
      <c r="I69" s="1079"/>
      <c r="J69" s="1079"/>
      <c r="K69" s="1079"/>
      <c r="L69" s="1079"/>
      <c r="M69" s="1079"/>
      <c r="N69" s="1079"/>
    </row>
    <row r="70" spans="1:14" x14ac:dyDescent="0.25">
      <c r="A70" s="1079"/>
      <c r="B70" s="1079"/>
      <c r="C70" s="1079"/>
      <c r="D70" s="1079"/>
      <c r="E70" s="1079"/>
      <c r="F70" s="1079"/>
      <c r="G70" s="1079"/>
      <c r="H70" s="1079"/>
      <c r="I70" s="1079"/>
      <c r="J70" s="1079"/>
      <c r="K70" s="1079"/>
      <c r="L70" s="1079"/>
      <c r="M70" s="1079"/>
      <c r="N70" s="1079"/>
    </row>
    <row r="71" spans="1:14" x14ac:dyDescent="0.25">
      <c r="A71" s="1079"/>
      <c r="B71" s="1079"/>
      <c r="C71" s="1079"/>
      <c r="D71" s="1079"/>
      <c r="E71" s="1079"/>
      <c r="F71" s="1079"/>
      <c r="G71" s="1079"/>
      <c r="H71" s="1079"/>
      <c r="I71" s="1079"/>
      <c r="J71" s="1079"/>
      <c r="K71" s="1079"/>
      <c r="L71" s="1079"/>
      <c r="M71" s="1079"/>
      <c r="N71" s="1079"/>
    </row>
    <row r="72" spans="1:14" x14ac:dyDescent="0.25">
      <c r="A72" s="1079"/>
      <c r="B72" s="1079"/>
      <c r="C72" s="1079"/>
      <c r="D72" s="1079"/>
      <c r="E72" s="1079"/>
      <c r="F72" s="1079"/>
      <c r="G72" s="1079"/>
      <c r="H72" s="1079"/>
      <c r="I72" s="1079"/>
      <c r="J72" s="1079"/>
      <c r="K72" s="1079"/>
      <c r="L72" s="1079"/>
      <c r="M72" s="1079"/>
      <c r="N72" s="1079"/>
    </row>
    <row r="73" spans="1:14" x14ac:dyDescent="0.25">
      <c r="A73" s="1079"/>
      <c r="B73" s="1079"/>
      <c r="C73" s="1079"/>
      <c r="D73" s="1079"/>
      <c r="E73" s="1079"/>
      <c r="F73" s="1079"/>
      <c r="G73" s="1079"/>
      <c r="H73" s="1079"/>
      <c r="I73" s="1079"/>
      <c r="J73" s="1079"/>
      <c r="K73" s="1079"/>
      <c r="L73" s="1079"/>
      <c r="M73" s="1079"/>
      <c r="N73" s="1079"/>
    </row>
    <row r="74" spans="1:14" x14ac:dyDescent="0.25">
      <c r="A74" s="1079"/>
      <c r="B74" s="1079"/>
      <c r="C74" s="1079"/>
      <c r="D74" s="1079"/>
      <c r="E74" s="1079"/>
      <c r="F74" s="1079"/>
      <c r="G74" s="1079"/>
      <c r="H74" s="1079"/>
      <c r="I74" s="1079"/>
      <c r="J74" s="1079"/>
      <c r="K74" s="1079"/>
      <c r="L74" s="1079"/>
      <c r="M74" s="1079"/>
      <c r="N74" s="1079"/>
    </row>
    <row r="75" spans="1:14" x14ac:dyDescent="0.25">
      <c r="A75" s="1079"/>
      <c r="B75" s="1079"/>
      <c r="C75" s="1079"/>
      <c r="D75" s="1079"/>
      <c r="E75" s="1079"/>
      <c r="F75" s="1079"/>
      <c r="G75" s="1079"/>
      <c r="H75" s="1079"/>
      <c r="I75" s="1079"/>
      <c r="J75" s="1079"/>
      <c r="K75" s="1079"/>
      <c r="L75" s="1079"/>
      <c r="M75" s="1079"/>
      <c r="N75" s="1079"/>
    </row>
    <row r="76" spans="1:14" x14ac:dyDescent="0.25">
      <c r="A76" s="1079"/>
      <c r="B76" s="1079"/>
      <c r="C76" s="1079"/>
      <c r="D76" s="1079"/>
      <c r="E76" s="1079"/>
      <c r="F76" s="1079"/>
      <c r="G76" s="1079"/>
      <c r="H76" s="1079"/>
      <c r="I76" s="1079"/>
      <c r="J76" s="1079"/>
      <c r="K76" s="1079"/>
      <c r="L76" s="1079"/>
      <c r="M76" s="1079"/>
      <c r="N76" s="1079"/>
    </row>
    <row r="77" spans="1:14" x14ac:dyDescent="0.25">
      <c r="A77" s="1079"/>
      <c r="B77" s="1079"/>
      <c r="C77" s="1079"/>
      <c r="D77" s="1079"/>
      <c r="E77" s="1079"/>
      <c r="F77" s="1079"/>
      <c r="G77" s="1079"/>
      <c r="H77" s="1079"/>
      <c r="I77" s="1079"/>
      <c r="J77" s="1079"/>
      <c r="K77" s="1079"/>
      <c r="L77" s="1079"/>
      <c r="M77" s="1079"/>
      <c r="N77" s="1079"/>
    </row>
    <row r="78" spans="1:14" x14ac:dyDescent="0.25">
      <c r="A78" s="1079"/>
      <c r="B78" s="1079"/>
      <c r="C78" s="1079"/>
      <c r="D78" s="1079"/>
      <c r="E78" s="1079"/>
      <c r="F78" s="1079"/>
      <c r="G78" s="1079"/>
      <c r="H78" s="1079"/>
      <c r="I78" s="1079"/>
      <c r="J78" s="1079"/>
      <c r="K78" s="1079"/>
      <c r="L78" s="1079"/>
      <c r="M78" s="1079"/>
      <c r="N78" s="1079"/>
    </row>
    <row r="79" spans="1:14" x14ac:dyDescent="0.25">
      <c r="A79" s="1079"/>
      <c r="B79" s="1079"/>
      <c r="C79" s="1079"/>
      <c r="D79" s="1079"/>
      <c r="E79" s="1079"/>
      <c r="F79" s="1079"/>
      <c r="G79" s="1079"/>
      <c r="H79" s="1079"/>
      <c r="I79" s="1079"/>
      <c r="J79" s="1079"/>
      <c r="K79" s="1079"/>
      <c r="L79" s="1079"/>
      <c r="M79" s="1079"/>
      <c r="N79" s="1079"/>
    </row>
    <row r="80" spans="1:14" x14ac:dyDescent="0.25">
      <c r="A80" s="1079"/>
      <c r="B80" s="1079"/>
      <c r="C80" s="1079"/>
      <c r="D80" s="1079"/>
      <c r="E80" s="1079"/>
      <c r="F80" s="1079"/>
      <c r="G80" s="1079"/>
      <c r="H80" s="1079"/>
      <c r="I80" s="1079"/>
      <c r="J80" s="1079"/>
      <c r="K80" s="1079"/>
      <c r="L80" s="1079"/>
      <c r="M80" s="1079"/>
      <c r="N80" s="1079"/>
    </row>
    <row r="81" spans="1:14" x14ac:dyDescent="0.25">
      <c r="A81" s="1079"/>
      <c r="B81" s="1079"/>
      <c r="C81" s="1079"/>
      <c r="D81" s="1079"/>
      <c r="E81" s="1079"/>
      <c r="F81" s="1079"/>
      <c r="G81" s="1079"/>
      <c r="H81" s="1079"/>
      <c r="I81" s="1079"/>
      <c r="J81" s="1079"/>
      <c r="K81" s="1079"/>
      <c r="L81" s="1079"/>
      <c r="M81" s="1079"/>
      <c r="N81" s="1079"/>
    </row>
    <row r="82" spans="1:14" x14ac:dyDescent="0.25">
      <c r="A82" s="1079"/>
      <c r="B82" s="1079"/>
      <c r="C82" s="1079"/>
      <c r="D82" s="1079"/>
      <c r="E82" s="1079"/>
      <c r="F82" s="1079"/>
      <c r="G82" s="1079"/>
      <c r="H82" s="1079"/>
      <c r="I82" s="1079"/>
      <c r="J82" s="1079"/>
      <c r="K82" s="1079"/>
      <c r="L82" s="1079"/>
      <c r="M82" s="1079"/>
      <c r="N82" s="1079"/>
    </row>
    <row r="83" spans="1:14" x14ac:dyDescent="0.25">
      <c r="A83" s="1079"/>
      <c r="B83" s="1079"/>
      <c r="C83" s="1079"/>
      <c r="D83" s="1079"/>
      <c r="E83" s="1079"/>
      <c r="F83" s="1079"/>
      <c r="G83" s="1079"/>
      <c r="H83" s="1079"/>
      <c r="I83" s="1079"/>
      <c r="J83" s="1079"/>
      <c r="K83" s="1079"/>
      <c r="L83" s="1079"/>
      <c r="M83" s="1079"/>
      <c r="N83" s="1079"/>
    </row>
    <row r="84" spans="1:14" x14ac:dyDescent="0.25">
      <c r="A84" s="1079"/>
      <c r="B84" s="1079"/>
      <c r="C84" s="1079"/>
      <c r="D84" s="1079"/>
      <c r="E84" s="1079"/>
      <c r="F84" s="1079"/>
      <c r="G84" s="1079"/>
      <c r="H84" s="1079"/>
      <c r="I84" s="1079"/>
      <c r="J84" s="1079"/>
      <c r="K84" s="1079"/>
      <c r="L84" s="1079"/>
      <c r="M84" s="1079"/>
      <c r="N84" s="1079"/>
    </row>
    <row r="85" spans="1:14" x14ac:dyDescent="0.25">
      <c r="A85" s="1079"/>
      <c r="B85" s="1079"/>
      <c r="C85" s="1079"/>
      <c r="D85" s="1079"/>
      <c r="E85" s="1079"/>
      <c r="F85" s="1079"/>
      <c r="G85" s="1079"/>
      <c r="H85" s="1079"/>
      <c r="I85" s="1079"/>
      <c r="J85" s="1079"/>
      <c r="K85" s="1079"/>
      <c r="L85" s="1079"/>
      <c r="M85" s="1079"/>
      <c r="N85" s="1079"/>
    </row>
    <row r="86" spans="1:14" x14ac:dyDescent="0.25">
      <c r="A86" s="1079"/>
      <c r="B86" s="1079"/>
      <c r="C86" s="1079"/>
      <c r="D86" s="1079"/>
      <c r="E86" s="1079"/>
      <c r="F86" s="1079"/>
      <c r="G86" s="1079"/>
      <c r="H86" s="1079"/>
      <c r="I86" s="1079"/>
      <c r="J86" s="1079"/>
      <c r="K86" s="1079"/>
      <c r="L86" s="1079"/>
      <c r="M86" s="1079"/>
      <c r="N86" s="1079"/>
    </row>
    <row r="87" spans="1:14" x14ac:dyDescent="0.25">
      <c r="A87" s="1079"/>
      <c r="B87" s="1079"/>
      <c r="C87" s="1079"/>
      <c r="D87" s="1079"/>
      <c r="E87" s="1079"/>
      <c r="F87" s="1079"/>
      <c r="G87" s="1079"/>
      <c r="H87" s="1079"/>
      <c r="I87" s="1079"/>
      <c r="J87" s="1079"/>
      <c r="K87" s="1079"/>
      <c r="L87" s="1079"/>
      <c r="M87" s="1079"/>
      <c r="N87" s="1079"/>
    </row>
    <row r="88" spans="1:14" x14ac:dyDescent="0.25">
      <c r="A88" s="1079"/>
      <c r="B88" s="1079"/>
      <c r="C88" s="1079"/>
      <c r="D88" s="1079"/>
      <c r="E88" s="1079"/>
      <c r="F88" s="1079"/>
      <c r="G88" s="1079"/>
      <c r="H88" s="1079"/>
      <c r="I88" s="1079"/>
      <c r="J88" s="1079"/>
      <c r="K88" s="1079"/>
      <c r="L88" s="1079"/>
      <c r="M88" s="1079"/>
      <c r="N88" s="1079"/>
    </row>
    <row r="89" spans="1:14" x14ac:dyDescent="0.25">
      <c r="A89" s="1079"/>
      <c r="B89" s="1079"/>
      <c r="C89" s="1079"/>
      <c r="D89" s="1079"/>
      <c r="E89" s="1079"/>
      <c r="F89" s="1079"/>
      <c r="G89" s="1079"/>
      <c r="H89" s="1079"/>
      <c r="I89" s="1079"/>
      <c r="J89" s="1079"/>
      <c r="K89" s="1079"/>
      <c r="L89" s="1079"/>
      <c r="M89" s="1079"/>
      <c r="N89" s="1079"/>
    </row>
    <row r="90" spans="1:14" x14ac:dyDescent="0.25">
      <c r="A90" s="1079"/>
      <c r="B90" s="1079"/>
      <c r="C90" s="1079"/>
      <c r="D90" s="1079"/>
      <c r="E90" s="1079"/>
      <c r="F90" s="1079"/>
      <c r="G90" s="1079"/>
      <c r="H90" s="1079"/>
      <c r="I90" s="1079"/>
      <c r="J90" s="1079"/>
      <c r="K90" s="1079"/>
      <c r="L90" s="1079"/>
      <c r="M90" s="1079"/>
      <c r="N90" s="1079"/>
    </row>
    <row r="91" spans="1:14" x14ac:dyDescent="0.25">
      <c r="A91" s="1079"/>
      <c r="B91" s="1079"/>
      <c r="C91" s="1079"/>
      <c r="D91" s="1079"/>
      <c r="E91" s="1079"/>
      <c r="F91" s="1079"/>
      <c r="G91" s="1079"/>
      <c r="H91" s="1079"/>
      <c r="I91" s="1079"/>
      <c r="J91" s="1079"/>
      <c r="K91" s="1079"/>
      <c r="L91" s="1079"/>
      <c r="M91" s="1079"/>
      <c r="N91" s="1079"/>
    </row>
    <row r="92" spans="1:14" x14ac:dyDescent="0.25">
      <c r="A92" s="1079"/>
      <c r="B92" s="1079"/>
      <c r="C92" s="1079"/>
      <c r="D92" s="1079"/>
      <c r="E92" s="1079"/>
      <c r="F92" s="1079"/>
      <c r="G92" s="1079"/>
      <c r="H92" s="1079"/>
      <c r="I92" s="1079"/>
      <c r="J92" s="1079"/>
      <c r="K92" s="1079"/>
      <c r="L92" s="1079"/>
      <c r="M92" s="1079"/>
      <c r="N92" s="1079"/>
    </row>
    <row r="93" spans="1:14" x14ac:dyDescent="0.25">
      <c r="A93" s="1079"/>
      <c r="B93" s="1079"/>
      <c r="C93" s="1079"/>
      <c r="D93" s="1079"/>
      <c r="E93" s="1079"/>
      <c r="F93" s="1079"/>
      <c r="G93" s="1079"/>
      <c r="H93" s="1079"/>
      <c r="I93" s="1079"/>
      <c r="J93" s="1079"/>
      <c r="K93" s="1079"/>
      <c r="L93" s="1079"/>
      <c r="M93" s="1079"/>
      <c r="N93" s="1079"/>
    </row>
    <row r="94" spans="1:14" x14ac:dyDescent="0.25">
      <c r="A94" s="1079"/>
      <c r="B94" s="1079"/>
      <c r="C94" s="1079"/>
      <c r="D94" s="1079"/>
      <c r="E94" s="1079"/>
      <c r="F94" s="1079"/>
      <c r="G94" s="1079"/>
      <c r="H94" s="1079"/>
      <c r="I94" s="1079"/>
      <c r="J94" s="1079"/>
      <c r="K94" s="1079"/>
      <c r="L94" s="1079"/>
      <c r="M94" s="1079"/>
      <c r="N94" s="1079"/>
    </row>
    <row r="95" spans="1:14" x14ac:dyDescent="0.25">
      <c r="A95" s="1079"/>
      <c r="B95" s="1079"/>
      <c r="C95" s="1079"/>
      <c r="D95" s="1079"/>
      <c r="E95" s="1079"/>
      <c r="F95" s="1079"/>
      <c r="G95" s="1079"/>
      <c r="H95" s="1079"/>
      <c r="I95" s="1079"/>
      <c r="J95" s="1079"/>
      <c r="K95" s="1079"/>
      <c r="L95" s="1079"/>
      <c r="M95" s="1079"/>
      <c r="N95" s="1079"/>
    </row>
    <row r="96" spans="1:14" x14ac:dyDescent="0.25">
      <c r="A96" s="1079"/>
      <c r="B96" s="1079"/>
      <c r="C96" s="1079"/>
      <c r="D96" s="1079"/>
      <c r="E96" s="1079"/>
      <c r="F96" s="1079"/>
      <c r="G96" s="1079"/>
      <c r="H96" s="1079"/>
      <c r="I96" s="1079"/>
      <c r="J96" s="1079"/>
      <c r="K96" s="1079"/>
      <c r="L96" s="1079"/>
      <c r="M96" s="1079"/>
      <c r="N96" s="1079"/>
    </row>
    <row r="97" spans="1:14" x14ac:dyDescent="0.25">
      <c r="A97" s="1079"/>
      <c r="B97" s="1079"/>
      <c r="C97" s="1079"/>
      <c r="D97" s="1079"/>
      <c r="E97" s="1079"/>
      <c r="F97" s="1079"/>
      <c r="G97" s="1079"/>
      <c r="H97" s="1079"/>
      <c r="I97" s="1079"/>
      <c r="J97" s="1079"/>
      <c r="K97" s="1079"/>
      <c r="L97" s="1079"/>
      <c r="M97" s="1079"/>
      <c r="N97" s="1079"/>
    </row>
    <row r="98" spans="1:14" x14ac:dyDescent="0.25">
      <c r="A98" s="1079"/>
      <c r="B98" s="1079"/>
      <c r="C98" s="1079"/>
      <c r="D98" s="1079"/>
      <c r="E98" s="1079"/>
      <c r="F98" s="1079"/>
      <c r="G98" s="1079"/>
      <c r="H98" s="1079"/>
      <c r="I98" s="1079"/>
      <c r="J98" s="1079"/>
      <c r="K98" s="1079"/>
      <c r="L98" s="1079"/>
      <c r="M98" s="1079"/>
      <c r="N98" s="1079"/>
    </row>
    <row r="99" spans="1:14" x14ac:dyDescent="0.25">
      <c r="A99" s="1079"/>
      <c r="B99" s="1079"/>
      <c r="C99" s="1079"/>
      <c r="D99" s="1079"/>
      <c r="E99" s="1079"/>
      <c r="F99" s="1079"/>
      <c r="G99" s="1079"/>
      <c r="H99" s="1079"/>
      <c r="I99" s="1079"/>
      <c r="J99" s="1079"/>
      <c r="K99" s="1079"/>
      <c r="L99" s="1079"/>
      <c r="M99" s="1079"/>
      <c r="N99" s="1079"/>
    </row>
    <row r="100" spans="1:14" x14ac:dyDescent="0.25">
      <c r="A100" s="1079"/>
      <c r="B100" s="1079"/>
      <c r="C100" s="1079"/>
      <c r="D100" s="1079"/>
      <c r="E100" s="1079"/>
      <c r="F100" s="1079"/>
      <c r="G100" s="1079"/>
      <c r="H100" s="1079"/>
      <c r="I100" s="1079"/>
      <c r="J100" s="1079"/>
      <c r="K100" s="1079"/>
      <c r="L100" s="1079"/>
      <c r="M100" s="1079"/>
      <c r="N100" s="1079"/>
    </row>
    <row r="101" spans="1:14" x14ac:dyDescent="0.25">
      <c r="A101" s="1079"/>
      <c r="B101" s="1079"/>
      <c r="C101" s="1079"/>
      <c r="D101" s="1079"/>
      <c r="E101" s="1079"/>
      <c r="F101" s="1079"/>
      <c r="G101" s="1079"/>
      <c r="H101" s="1079"/>
      <c r="I101" s="1079"/>
      <c r="J101" s="1079"/>
      <c r="K101" s="1079"/>
      <c r="L101" s="1079"/>
      <c r="M101" s="1079"/>
      <c r="N101" s="1079"/>
    </row>
    <row r="102" spans="1:14" x14ac:dyDescent="0.25">
      <c r="A102" s="1079"/>
      <c r="B102" s="1079"/>
      <c r="C102" s="1079"/>
      <c r="D102" s="1079"/>
      <c r="E102" s="1079"/>
      <c r="F102" s="1079"/>
      <c r="G102" s="1079"/>
      <c r="H102" s="1079"/>
      <c r="I102" s="1079"/>
      <c r="J102" s="1079"/>
      <c r="K102" s="1079"/>
      <c r="L102" s="1079"/>
      <c r="M102" s="1079"/>
      <c r="N102" s="1079"/>
    </row>
    <row r="103" spans="1:14" x14ac:dyDescent="0.25">
      <c r="A103" s="1079"/>
      <c r="B103" s="1079"/>
      <c r="C103" s="1079"/>
      <c r="D103" s="1079"/>
      <c r="E103" s="1079"/>
      <c r="F103" s="1079"/>
      <c r="G103" s="1079"/>
      <c r="H103" s="1079"/>
      <c r="I103" s="1079"/>
      <c r="J103" s="1079"/>
      <c r="K103" s="1079"/>
      <c r="L103" s="1079"/>
      <c r="M103" s="1079"/>
      <c r="N103" s="1079"/>
    </row>
    <row r="104" spans="1:14" x14ac:dyDescent="0.25">
      <c r="A104" s="1079"/>
      <c r="B104" s="1079"/>
      <c r="C104" s="1079"/>
      <c r="D104" s="1079"/>
      <c r="E104" s="1079"/>
      <c r="F104" s="1079"/>
      <c r="G104" s="1079"/>
      <c r="H104" s="1079"/>
      <c r="I104" s="1079"/>
      <c r="J104" s="1079"/>
      <c r="K104" s="1079"/>
      <c r="L104" s="1079"/>
      <c r="M104" s="1079"/>
      <c r="N104" s="1079"/>
    </row>
    <row r="105" spans="1:14" x14ac:dyDescent="0.25">
      <c r="A105" s="1079"/>
      <c r="B105" s="1079"/>
      <c r="C105" s="1079"/>
      <c r="D105" s="1079"/>
      <c r="E105" s="1079"/>
      <c r="F105" s="1079"/>
      <c r="G105" s="1079"/>
      <c r="H105" s="1079"/>
      <c r="I105" s="1079"/>
      <c r="J105" s="1079"/>
      <c r="K105" s="1079"/>
      <c r="L105" s="1079"/>
      <c r="M105" s="1079"/>
      <c r="N105" s="1079"/>
    </row>
    <row r="106" spans="1:14" x14ac:dyDescent="0.25">
      <c r="A106" s="1079"/>
      <c r="B106" s="1079"/>
      <c r="C106" s="1079"/>
      <c r="D106" s="1079"/>
      <c r="E106" s="1079"/>
      <c r="F106" s="1079"/>
      <c r="G106" s="1079"/>
      <c r="H106" s="1079"/>
      <c r="I106" s="1079"/>
      <c r="J106" s="1079"/>
      <c r="K106" s="1079"/>
      <c r="L106" s="1079"/>
      <c r="M106" s="1079"/>
      <c r="N106" s="1079"/>
    </row>
    <row r="107" spans="1:14" x14ac:dyDescent="0.25">
      <c r="A107" s="1079"/>
      <c r="B107" s="1079"/>
      <c r="C107" s="1079"/>
      <c r="D107" s="1079"/>
      <c r="E107" s="1079"/>
      <c r="F107" s="1079"/>
      <c r="G107" s="1079"/>
      <c r="H107" s="1079"/>
      <c r="I107" s="1079"/>
      <c r="J107" s="1079"/>
      <c r="K107" s="1079"/>
      <c r="L107" s="1079"/>
      <c r="M107" s="1079"/>
      <c r="N107" s="1079"/>
    </row>
    <row r="108" spans="1:14" x14ac:dyDescent="0.25">
      <c r="A108" s="1079"/>
      <c r="B108" s="1079"/>
      <c r="C108" s="1079"/>
      <c r="D108" s="1079"/>
      <c r="E108" s="1079"/>
      <c r="F108" s="1079"/>
      <c r="G108" s="1079"/>
      <c r="H108" s="1079"/>
      <c r="I108" s="1079"/>
      <c r="J108" s="1079"/>
      <c r="K108" s="1079"/>
      <c r="L108" s="1079"/>
      <c r="M108" s="1079"/>
      <c r="N108" s="1079"/>
    </row>
    <row r="109" spans="1:14" x14ac:dyDescent="0.25">
      <c r="A109" s="1079"/>
      <c r="B109" s="1079"/>
      <c r="C109" s="1079"/>
      <c r="D109" s="1079"/>
      <c r="E109" s="1079"/>
      <c r="F109" s="1079"/>
      <c r="G109" s="1079"/>
      <c r="H109" s="1079"/>
      <c r="I109" s="1079"/>
      <c r="J109" s="1079"/>
      <c r="K109" s="1079"/>
      <c r="L109" s="1079"/>
      <c r="M109" s="1079"/>
      <c r="N109" s="1079"/>
    </row>
    <row r="110" spans="1:14" x14ac:dyDescent="0.25">
      <c r="A110" s="1079"/>
      <c r="B110" s="1079"/>
      <c r="C110" s="1079"/>
      <c r="D110" s="1079"/>
      <c r="E110" s="1079"/>
      <c r="F110" s="1079"/>
      <c r="G110" s="1079"/>
      <c r="H110" s="1079"/>
      <c r="I110" s="1079"/>
      <c r="J110" s="1079"/>
      <c r="K110" s="1079"/>
      <c r="L110" s="1079"/>
      <c r="M110" s="1079"/>
      <c r="N110" s="1079"/>
    </row>
    <row r="111" spans="1:14" x14ac:dyDescent="0.25">
      <c r="A111" s="1079"/>
      <c r="B111" s="1079"/>
      <c r="C111" s="1079"/>
      <c r="D111" s="1079"/>
      <c r="E111" s="1079"/>
      <c r="F111" s="1079"/>
      <c r="G111" s="1079"/>
      <c r="H111" s="1079"/>
      <c r="I111" s="1079"/>
      <c r="J111" s="1079"/>
      <c r="K111" s="1079"/>
      <c r="L111" s="1079"/>
      <c r="M111" s="1079"/>
      <c r="N111" s="1079"/>
    </row>
    <row r="112" spans="1:14" x14ac:dyDescent="0.25">
      <c r="A112" s="1079"/>
      <c r="B112" s="1079"/>
      <c r="C112" s="1079"/>
      <c r="D112" s="1079"/>
      <c r="E112" s="1079"/>
      <c r="F112" s="1079"/>
      <c r="G112" s="1079"/>
      <c r="H112" s="1079"/>
      <c r="I112" s="1079"/>
      <c r="J112" s="1079"/>
      <c r="K112" s="1079"/>
      <c r="L112" s="1079"/>
      <c r="M112" s="1079"/>
      <c r="N112" s="1079"/>
    </row>
    <row r="113" spans="1:14" x14ac:dyDescent="0.25">
      <c r="A113" s="1079"/>
      <c r="B113" s="1079"/>
      <c r="C113" s="1079"/>
      <c r="D113" s="1079"/>
      <c r="E113" s="1079"/>
      <c r="F113" s="1079"/>
      <c r="G113" s="1079"/>
      <c r="H113" s="1079"/>
      <c r="I113" s="1079"/>
      <c r="J113" s="1079"/>
      <c r="K113" s="1079"/>
      <c r="L113" s="1079"/>
      <c r="M113" s="1079"/>
      <c r="N113" s="1079"/>
    </row>
    <row r="114" spans="1:14" x14ac:dyDescent="0.25">
      <c r="A114" s="1079"/>
      <c r="B114" s="1079"/>
      <c r="C114" s="1079"/>
      <c r="D114" s="1079"/>
      <c r="E114" s="1079"/>
      <c r="F114" s="1079"/>
      <c r="G114" s="1079"/>
      <c r="H114" s="1079"/>
      <c r="I114" s="1079"/>
      <c r="J114" s="1079"/>
      <c r="K114" s="1079"/>
      <c r="L114" s="1079"/>
      <c r="M114" s="1079"/>
      <c r="N114" s="1079"/>
    </row>
    <row r="115" spans="1:14" x14ac:dyDescent="0.25">
      <c r="A115" s="1079"/>
      <c r="B115" s="1079"/>
      <c r="C115" s="1079"/>
      <c r="D115" s="1079"/>
      <c r="E115" s="1079"/>
      <c r="F115" s="1079"/>
      <c r="G115" s="1079"/>
      <c r="H115" s="1079"/>
      <c r="I115" s="1079"/>
      <c r="J115" s="1079"/>
      <c r="K115" s="1079"/>
      <c r="L115" s="1079"/>
      <c r="M115" s="1079"/>
      <c r="N115" s="1079"/>
    </row>
    <row r="116" spans="1:14" x14ac:dyDescent="0.25">
      <c r="A116" s="1079"/>
      <c r="B116" s="1079"/>
      <c r="C116" s="1079"/>
      <c r="D116" s="1079"/>
      <c r="E116" s="1079"/>
      <c r="F116" s="1079"/>
      <c r="G116" s="1079"/>
      <c r="H116" s="1079"/>
      <c r="I116" s="1079"/>
      <c r="J116" s="1079"/>
      <c r="K116" s="1079"/>
      <c r="L116" s="1079"/>
      <c r="M116" s="1079"/>
      <c r="N116" s="1079"/>
    </row>
    <row r="117" spans="1:14" x14ac:dyDescent="0.25">
      <c r="A117" s="1079"/>
      <c r="B117" s="1079"/>
      <c r="C117" s="1079"/>
      <c r="D117" s="1079"/>
      <c r="E117" s="1079"/>
      <c r="F117" s="1079"/>
      <c r="G117" s="1079"/>
      <c r="H117" s="1079"/>
      <c r="I117" s="1079"/>
      <c r="J117" s="1079"/>
      <c r="K117" s="1079"/>
      <c r="L117" s="1079"/>
      <c r="M117" s="1079"/>
      <c r="N117" s="1079"/>
    </row>
    <row r="118" spans="1:14" x14ac:dyDescent="0.25">
      <c r="A118" s="1079"/>
      <c r="B118" s="1079"/>
      <c r="C118" s="1079"/>
      <c r="D118" s="1079"/>
      <c r="E118" s="1079"/>
      <c r="F118" s="1079"/>
      <c r="G118" s="1079"/>
      <c r="H118" s="1079"/>
      <c r="I118" s="1079"/>
      <c r="J118" s="1079"/>
      <c r="K118" s="1079"/>
      <c r="L118" s="1079"/>
      <c r="M118" s="1079"/>
      <c r="N118" s="1079"/>
    </row>
    <row r="119" spans="1:14" x14ac:dyDescent="0.25">
      <c r="A119" s="1079"/>
      <c r="B119" s="1079"/>
      <c r="C119" s="1079"/>
      <c r="D119" s="1079"/>
      <c r="E119" s="1079"/>
      <c r="F119" s="1079"/>
      <c r="G119" s="1079"/>
      <c r="H119" s="1079"/>
      <c r="I119" s="1079"/>
      <c r="J119" s="1079"/>
      <c r="K119" s="1079"/>
      <c r="L119" s="1079"/>
      <c r="M119" s="1079"/>
      <c r="N119" s="1079"/>
    </row>
    <row r="120" spans="1:14" x14ac:dyDescent="0.25">
      <c r="A120" s="1079"/>
      <c r="B120" s="1079"/>
      <c r="C120" s="1079"/>
      <c r="D120" s="1079"/>
      <c r="E120" s="1079"/>
      <c r="F120" s="1079"/>
      <c r="G120" s="1079"/>
      <c r="H120" s="1079"/>
      <c r="I120" s="1079"/>
      <c r="J120" s="1079"/>
      <c r="K120" s="1079"/>
      <c r="L120" s="1079"/>
      <c r="M120" s="1079"/>
      <c r="N120" s="1079"/>
    </row>
    <row r="121" spans="1:14" x14ac:dyDescent="0.25">
      <c r="A121" s="1079"/>
      <c r="B121" s="1079"/>
      <c r="C121" s="1079"/>
      <c r="D121" s="1079"/>
      <c r="E121" s="1079"/>
      <c r="F121" s="1079"/>
      <c r="G121" s="1079"/>
      <c r="H121" s="1079"/>
      <c r="I121" s="1079"/>
      <c r="J121" s="1079"/>
      <c r="K121" s="1079"/>
      <c r="L121" s="1079"/>
      <c r="M121" s="1079"/>
      <c r="N121" s="1079"/>
    </row>
    <row r="122" spans="1:14" x14ac:dyDescent="0.25">
      <c r="A122" s="1079"/>
      <c r="B122" s="1079"/>
      <c r="C122" s="1079"/>
      <c r="D122" s="1079"/>
      <c r="E122" s="1079"/>
      <c r="F122" s="1079"/>
      <c r="G122" s="1079"/>
      <c r="H122" s="1079"/>
      <c r="I122" s="1079"/>
      <c r="J122" s="1079"/>
      <c r="K122" s="1079"/>
      <c r="L122" s="1079"/>
      <c r="M122" s="1079"/>
      <c r="N122" s="1079"/>
    </row>
    <row r="123" spans="1:14" x14ac:dyDescent="0.25">
      <c r="A123" s="1079"/>
      <c r="B123" s="1079"/>
      <c r="C123" s="1079"/>
      <c r="D123" s="1079"/>
      <c r="E123" s="1079"/>
      <c r="F123" s="1079"/>
      <c r="G123" s="1079"/>
      <c r="H123" s="1079"/>
      <c r="I123" s="1079"/>
      <c r="J123" s="1079"/>
      <c r="K123" s="1079"/>
      <c r="L123" s="1079"/>
      <c r="M123" s="1079"/>
      <c r="N123" s="1079"/>
    </row>
    <row r="124" spans="1:14" x14ac:dyDescent="0.25">
      <c r="A124" s="1079"/>
      <c r="B124" s="1079"/>
      <c r="C124" s="1079"/>
      <c r="D124" s="1079"/>
      <c r="E124" s="1079"/>
      <c r="F124" s="1079"/>
      <c r="G124" s="1079"/>
      <c r="H124" s="1079"/>
      <c r="I124" s="1079"/>
      <c r="J124" s="1079"/>
      <c r="K124" s="1079"/>
      <c r="L124" s="1079"/>
      <c r="M124" s="1079"/>
      <c r="N124" s="1079"/>
    </row>
    <row r="125" spans="1:14" x14ac:dyDescent="0.25">
      <c r="A125" s="1079"/>
      <c r="B125" s="1079"/>
      <c r="C125" s="1079"/>
      <c r="D125" s="1079"/>
      <c r="E125" s="1079"/>
      <c r="F125" s="1079"/>
      <c r="G125" s="1079"/>
      <c r="H125" s="1079"/>
      <c r="I125" s="1079"/>
      <c r="J125" s="1079"/>
      <c r="K125" s="1079"/>
      <c r="L125" s="1079"/>
      <c r="M125" s="1079"/>
      <c r="N125" s="1079"/>
    </row>
    <row r="126" spans="1:14" x14ac:dyDescent="0.25">
      <c r="A126" s="1079"/>
      <c r="B126" s="1079"/>
      <c r="C126" s="1079"/>
      <c r="D126" s="1079"/>
      <c r="E126" s="1079"/>
      <c r="F126" s="1079"/>
      <c r="G126" s="1079"/>
      <c r="H126" s="1079"/>
      <c r="I126" s="1079"/>
      <c r="J126" s="1079"/>
      <c r="K126" s="1079"/>
      <c r="L126" s="1079"/>
      <c r="M126" s="1079"/>
      <c r="N126" s="1079"/>
    </row>
    <row r="127" spans="1:14" x14ac:dyDescent="0.25">
      <c r="A127" s="1079"/>
      <c r="B127" s="1079"/>
      <c r="C127" s="1079"/>
      <c r="D127" s="1079"/>
      <c r="E127" s="1079"/>
      <c r="F127" s="1079"/>
      <c r="G127" s="1079"/>
      <c r="H127" s="1079"/>
      <c r="I127" s="1079"/>
      <c r="J127" s="1079"/>
      <c r="K127" s="1079"/>
      <c r="L127" s="1079"/>
      <c r="M127" s="1079"/>
      <c r="N127" s="1079"/>
    </row>
    <row r="128" spans="1:14" x14ac:dyDescent="0.25">
      <c r="A128" s="1079"/>
      <c r="B128" s="1079"/>
      <c r="C128" s="1079"/>
      <c r="D128" s="1079"/>
      <c r="E128" s="1079"/>
      <c r="F128" s="1079"/>
      <c r="G128" s="1079"/>
      <c r="H128" s="1079"/>
      <c r="I128" s="1079"/>
      <c r="J128" s="1079"/>
      <c r="K128" s="1079"/>
      <c r="L128" s="1079"/>
      <c r="M128" s="1079"/>
      <c r="N128" s="1079"/>
    </row>
    <row r="129" spans="1:14" x14ac:dyDescent="0.25">
      <c r="A129" s="1079"/>
      <c r="B129" s="1079"/>
      <c r="C129" s="1079"/>
      <c r="D129" s="1079"/>
      <c r="E129" s="1079"/>
      <c r="F129" s="1079"/>
      <c r="G129" s="1079"/>
      <c r="H129" s="1079"/>
      <c r="I129" s="1079"/>
      <c r="J129" s="1079"/>
      <c r="K129" s="1079"/>
      <c r="L129" s="1079"/>
      <c r="M129" s="1079"/>
      <c r="N129" s="1079"/>
    </row>
    <row r="130" spans="1:14" x14ac:dyDescent="0.25">
      <c r="A130" s="1079"/>
      <c r="B130" s="1079"/>
      <c r="C130" s="1079"/>
      <c r="D130" s="1079"/>
      <c r="E130" s="1079"/>
      <c r="F130" s="1079"/>
      <c r="G130" s="1079"/>
      <c r="H130" s="1079"/>
      <c r="I130" s="1079"/>
      <c r="J130" s="1079"/>
      <c r="K130" s="1079"/>
      <c r="L130" s="1079"/>
      <c r="M130" s="1079"/>
      <c r="N130" s="1079"/>
    </row>
    <row r="131" spans="1:14" x14ac:dyDescent="0.25">
      <c r="A131" s="1079"/>
      <c r="B131" s="1079"/>
      <c r="C131" s="1079"/>
      <c r="D131" s="1079"/>
      <c r="E131" s="1079"/>
      <c r="F131" s="1079"/>
      <c r="G131" s="1079"/>
      <c r="H131" s="1079"/>
      <c r="I131" s="1079"/>
      <c r="J131" s="1079"/>
      <c r="K131" s="1079"/>
      <c r="L131" s="1079"/>
      <c r="M131" s="1079"/>
      <c r="N131" s="1079"/>
    </row>
    <row r="132" spans="1:14" x14ac:dyDescent="0.25">
      <c r="A132" s="1079"/>
      <c r="B132" s="1079"/>
      <c r="C132" s="1079"/>
      <c r="D132" s="1079"/>
      <c r="E132" s="1079"/>
      <c r="F132" s="1079"/>
      <c r="G132" s="1079"/>
      <c r="H132" s="1079"/>
      <c r="I132" s="1079"/>
      <c r="J132" s="1079"/>
      <c r="K132" s="1079"/>
      <c r="L132" s="1079"/>
      <c r="M132" s="1079"/>
      <c r="N132" s="1079"/>
    </row>
    <row r="133" spans="1:14" x14ac:dyDescent="0.25">
      <c r="A133" s="1079"/>
      <c r="B133" s="1079"/>
      <c r="C133" s="1079"/>
      <c r="D133" s="1079"/>
      <c r="E133" s="1079"/>
      <c r="F133" s="1079"/>
      <c r="G133" s="1079"/>
      <c r="H133" s="1079"/>
      <c r="I133" s="1079"/>
      <c r="J133" s="1079"/>
      <c r="K133" s="1079"/>
      <c r="L133" s="1079"/>
      <c r="M133" s="1079"/>
      <c r="N133" s="1079"/>
    </row>
    <row r="134" spans="1:14" x14ac:dyDescent="0.25">
      <c r="A134" s="1079"/>
      <c r="B134" s="1079"/>
      <c r="C134" s="1079"/>
      <c r="D134" s="1079"/>
      <c r="E134" s="1079"/>
      <c r="F134" s="1079"/>
      <c r="G134" s="1079"/>
      <c r="H134" s="1079"/>
      <c r="I134" s="1079"/>
      <c r="J134" s="1079"/>
      <c r="K134" s="1079"/>
      <c r="L134" s="1079"/>
      <c r="M134" s="1079"/>
      <c r="N134" s="1079"/>
    </row>
    <row r="135" spans="1:14" x14ac:dyDescent="0.25">
      <c r="A135" s="1079"/>
      <c r="B135" s="1079"/>
      <c r="C135" s="1079"/>
      <c r="D135" s="1079"/>
      <c r="E135" s="1079"/>
      <c r="F135" s="1079"/>
      <c r="G135" s="1079"/>
      <c r="H135" s="1079"/>
      <c r="I135" s="1079"/>
      <c r="J135" s="1079"/>
      <c r="K135" s="1079"/>
      <c r="L135" s="1079"/>
      <c r="M135" s="1079"/>
      <c r="N135" s="1079"/>
    </row>
    <row r="136" spans="1:14" x14ac:dyDescent="0.25">
      <c r="A136" s="1079"/>
      <c r="B136" s="1079"/>
      <c r="C136" s="1079"/>
      <c r="D136" s="1079"/>
      <c r="E136" s="1079"/>
      <c r="F136" s="1079"/>
      <c r="G136" s="1079"/>
      <c r="H136" s="1079"/>
      <c r="I136" s="1079"/>
      <c r="J136" s="1079"/>
      <c r="K136" s="1079"/>
      <c r="L136" s="1079"/>
      <c r="M136" s="1079"/>
      <c r="N136" s="1079"/>
    </row>
    <row r="137" spans="1:14" x14ac:dyDescent="0.25">
      <c r="A137" s="1079"/>
      <c r="B137" s="1079"/>
      <c r="C137" s="1079"/>
      <c r="D137" s="1079"/>
      <c r="E137" s="1079"/>
      <c r="F137" s="1079"/>
      <c r="G137" s="1079"/>
      <c r="H137" s="1079"/>
      <c r="I137" s="1079"/>
      <c r="J137" s="1079"/>
      <c r="K137" s="1079"/>
      <c r="L137" s="1079"/>
      <c r="M137" s="1079"/>
      <c r="N137" s="1079"/>
    </row>
    <row r="138" spans="1:14" x14ac:dyDescent="0.25">
      <c r="A138" s="1079"/>
      <c r="B138" s="1079"/>
      <c r="C138" s="1079"/>
      <c r="D138" s="1079"/>
      <c r="E138" s="1079"/>
      <c r="F138" s="1079"/>
      <c r="G138" s="1079"/>
      <c r="H138" s="1079"/>
      <c r="I138" s="1079"/>
      <c r="J138" s="1079"/>
      <c r="K138" s="1079"/>
      <c r="L138" s="1079"/>
      <c r="M138" s="1079"/>
      <c r="N138" s="1079"/>
    </row>
    <row r="139" spans="1:14" x14ac:dyDescent="0.25">
      <c r="A139" s="1079"/>
      <c r="B139" s="1079"/>
      <c r="C139" s="1079"/>
      <c r="D139" s="1079"/>
      <c r="E139" s="1079"/>
      <c r="F139" s="1079"/>
      <c r="G139" s="1079"/>
      <c r="H139" s="1079"/>
      <c r="I139" s="1079"/>
      <c r="J139" s="1079"/>
      <c r="K139" s="1079"/>
      <c r="L139" s="1079"/>
      <c r="M139" s="1079"/>
      <c r="N139" s="1079"/>
    </row>
    <row r="140" spans="1:14" x14ac:dyDescent="0.25">
      <c r="A140" s="1079"/>
      <c r="B140" s="1079"/>
      <c r="C140" s="1079"/>
      <c r="D140" s="1079"/>
      <c r="E140" s="1079"/>
      <c r="F140" s="1079"/>
      <c r="G140" s="1079"/>
      <c r="H140" s="1079"/>
      <c r="I140" s="1079"/>
      <c r="J140" s="1079"/>
      <c r="K140" s="1079"/>
      <c r="L140" s="1079"/>
      <c r="M140" s="1079"/>
      <c r="N140" s="1079"/>
    </row>
    <row r="141" spans="1:14" x14ac:dyDescent="0.25">
      <c r="A141" s="1079"/>
      <c r="B141" s="1079"/>
      <c r="C141" s="1079"/>
      <c r="D141" s="1079"/>
      <c r="E141" s="1079"/>
      <c r="F141" s="1079"/>
      <c r="G141" s="1079"/>
      <c r="H141" s="1079"/>
      <c r="I141" s="1079"/>
      <c r="J141" s="1079"/>
      <c r="K141" s="1079"/>
      <c r="L141" s="1079"/>
      <c r="M141" s="1079"/>
      <c r="N141" s="1079"/>
    </row>
    <row r="142" spans="1:14" x14ac:dyDescent="0.25">
      <c r="A142" s="1079"/>
      <c r="B142" s="1079"/>
      <c r="C142" s="1079"/>
      <c r="D142" s="1079"/>
      <c r="E142" s="1079"/>
      <c r="F142" s="1079"/>
      <c r="G142" s="1079"/>
      <c r="H142" s="1079"/>
      <c r="I142" s="1079"/>
      <c r="J142" s="1079"/>
      <c r="K142" s="1079"/>
      <c r="L142" s="1079"/>
      <c r="M142" s="1079"/>
      <c r="N142" s="1079"/>
    </row>
    <row r="143" spans="1:14" x14ac:dyDescent="0.25">
      <c r="A143" s="1079"/>
      <c r="B143" s="1079"/>
      <c r="C143" s="1079"/>
      <c r="D143" s="1079"/>
      <c r="E143" s="1079"/>
      <c r="F143" s="1079"/>
      <c r="G143" s="1079"/>
      <c r="H143" s="1079"/>
      <c r="I143" s="1079"/>
      <c r="J143" s="1079"/>
      <c r="K143" s="1079"/>
      <c r="L143" s="1079"/>
      <c r="M143" s="1079"/>
      <c r="N143" s="1079"/>
    </row>
    <row r="144" spans="1:14" x14ac:dyDescent="0.25">
      <c r="A144" s="1079"/>
      <c r="B144" s="1079"/>
      <c r="C144" s="1079"/>
      <c r="D144" s="1079"/>
      <c r="E144" s="1079"/>
      <c r="F144" s="1079"/>
      <c r="G144" s="1079"/>
      <c r="H144" s="1079"/>
      <c r="I144" s="1079"/>
      <c r="J144" s="1079"/>
      <c r="K144" s="1079"/>
      <c r="L144" s="1079"/>
      <c r="M144" s="1079"/>
      <c r="N144" s="1079"/>
    </row>
    <row r="145" spans="1:14" x14ac:dyDescent="0.25">
      <c r="A145" s="1079"/>
      <c r="B145" s="1079"/>
      <c r="C145" s="1079"/>
      <c r="D145" s="1079"/>
      <c r="E145" s="1079"/>
      <c r="F145" s="1079"/>
      <c r="G145" s="1079"/>
      <c r="H145" s="1079"/>
      <c r="I145" s="1079"/>
      <c r="J145" s="1079"/>
      <c r="K145" s="1079"/>
      <c r="L145" s="1079"/>
      <c r="M145" s="1079"/>
      <c r="N145" s="1079"/>
    </row>
    <row r="146" spans="1:14" x14ac:dyDescent="0.25">
      <c r="A146" s="1079"/>
      <c r="B146" s="1079"/>
      <c r="C146" s="1079"/>
      <c r="D146" s="1079"/>
      <c r="E146" s="1079"/>
      <c r="F146" s="1079"/>
      <c r="G146" s="1079"/>
      <c r="H146" s="1079"/>
      <c r="I146" s="1079"/>
      <c r="J146" s="1079"/>
      <c r="K146" s="1079"/>
      <c r="L146" s="1079"/>
      <c r="M146" s="1079"/>
      <c r="N146" s="1079"/>
    </row>
    <row r="147" spans="1:14" x14ac:dyDescent="0.25">
      <c r="A147" s="1079"/>
      <c r="B147" s="1079"/>
      <c r="C147" s="1079"/>
      <c r="D147" s="1079"/>
      <c r="E147" s="1079"/>
      <c r="F147" s="1079"/>
      <c r="G147" s="1079"/>
      <c r="H147" s="1079"/>
      <c r="I147" s="1079"/>
      <c r="J147" s="1079"/>
      <c r="K147" s="1079"/>
      <c r="L147" s="1079"/>
      <c r="M147" s="1079"/>
      <c r="N147" s="1079"/>
    </row>
    <row r="148" spans="1:14" x14ac:dyDescent="0.25">
      <c r="A148" s="1079"/>
      <c r="B148" s="1079"/>
      <c r="C148" s="1079"/>
      <c r="D148" s="1079"/>
      <c r="E148" s="1079"/>
      <c r="F148" s="1079"/>
      <c r="G148" s="1079"/>
      <c r="H148" s="1079"/>
      <c r="I148" s="1079"/>
      <c r="J148" s="1079"/>
      <c r="K148" s="1079"/>
      <c r="L148" s="1079"/>
      <c r="M148" s="1079"/>
      <c r="N148" s="1079"/>
    </row>
    <row r="149" spans="1:14" x14ac:dyDescent="0.25">
      <c r="A149" s="1079"/>
      <c r="B149" s="1079"/>
      <c r="C149" s="1079"/>
      <c r="D149" s="1079"/>
      <c r="E149" s="1079"/>
      <c r="F149" s="1079"/>
      <c r="G149" s="1079"/>
      <c r="H149" s="1079"/>
      <c r="I149" s="1079"/>
      <c r="J149" s="1079"/>
      <c r="K149" s="1079"/>
      <c r="L149" s="1079"/>
      <c r="M149" s="1079"/>
      <c r="N149" s="1079"/>
    </row>
    <row r="150" spans="1:14" x14ac:dyDescent="0.25">
      <c r="A150" s="1079"/>
      <c r="B150" s="1079"/>
      <c r="C150" s="1079"/>
      <c r="D150" s="1079"/>
      <c r="E150" s="1079"/>
      <c r="F150" s="1079"/>
      <c r="G150" s="1079"/>
      <c r="H150" s="1079"/>
      <c r="I150" s="1079"/>
      <c r="J150" s="1079"/>
      <c r="K150" s="1079"/>
      <c r="L150" s="1079"/>
      <c r="M150" s="1079"/>
      <c r="N150" s="1079"/>
    </row>
    <row r="151" spans="1:14" x14ac:dyDescent="0.25">
      <c r="A151" s="1079"/>
      <c r="B151" s="1079"/>
      <c r="C151" s="1079"/>
      <c r="D151" s="1079"/>
      <c r="E151" s="1079"/>
      <c r="F151" s="1079"/>
      <c r="G151" s="1079"/>
      <c r="H151" s="1079"/>
      <c r="I151" s="1079"/>
      <c r="J151" s="1079"/>
      <c r="K151" s="1079"/>
      <c r="L151" s="1079"/>
      <c r="M151" s="1079"/>
      <c r="N151" s="1079"/>
    </row>
    <row r="152" spans="1:14" x14ac:dyDescent="0.25">
      <c r="A152" s="1079"/>
      <c r="B152" s="1079"/>
      <c r="C152" s="1079"/>
      <c r="D152" s="1079"/>
      <c r="E152" s="1079"/>
      <c r="F152" s="1079"/>
      <c r="G152" s="1079"/>
      <c r="H152" s="1079"/>
      <c r="I152" s="1079"/>
      <c r="J152" s="1079"/>
      <c r="K152" s="1079"/>
      <c r="L152" s="1079"/>
      <c r="M152" s="1079"/>
      <c r="N152" s="1079"/>
    </row>
    <row r="153" spans="1:14" x14ac:dyDescent="0.25">
      <c r="A153" s="1079"/>
      <c r="B153" s="1079"/>
      <c r="C153" s="1079"/>
      <c r="D153" s="1079"/>
      <c r="E153" s="1079"/>
      <c r="F153" s="1079"/>
      <c r="G153" s="1079"/>
      <c r="H153" s="1079"/>
      <c r="I153" s="1079"/>
      <c r="J153" s="1079"/>
      <c r="K153" s="1079"/>
      <c r="L153" s="1079"/>
      <c r="M153" s="1079"/>
      <c r="N153" s="1079"/>
    </row>
    <row r="154" spans="1:14" x14ac:dyDescent="0.25">
      <c r="A154" s="1079"/>
      <c r="B154" s="1079"/>
      <c r="C154" s="1079"/>
      <c r="D154" s="1079"/>
      <c r="E154" s="1079"/>
      <c r="F154" s="1079"/>
      <c r="G154" s="1079"/>
      <c r="H154" s="1079"/>
      <c r="I154" s="1079"/>
      <c r="J154" s="1079"/>
      <c r="K154" s="1079"/>
      <c r="L154" s="1079"/>
      <c r="M154" s="1079"/>
      <c r="N154" s="1079"/>
    </row>
    <row r="155" spans="1:14" x14ac:dyDescent="0.25">
      <c r="A155" s="1079"/>
      <c r="B155" s="1079"/>
      <c r="C155" s="1079"/>
      <c r="D155" s="1079"/>
      <c r="E155" s="1079"/>
      <c r="F155" s="1079"/>
      <c r="G155" s="1079"/>
      <c r="H155" s="1079"/>
      <c r="I155" s="1079"/>
      <c r="J155" s="1079"/>
      <c r="K155" s="1079"/>
      <c r="L155" s="1079"/>
      <c r="M155" s="1079"/>
      <c r="N155" s="1079"/>
    </row>
    <row r="156" spans="1:14" x14ac:dyDescent="0.25">
      <c r="A156" s="1079"/>
      <c r="B156" s="1079"/>
      <c r="C156" s="1079"/>
      <c r="D156" s="1079"/>
      <c r="E156" s="1079"/>
      <c r="F156" s="1079"/>
      <c r="G156" s="1079"/>
      <c r="H156" s="1079"/>
      <c r="I156" s="1079"/>
      <c r="J156" s="1079"/>
      <c r="K156" s="1079"/>
      <c r="L156" s="1079"/>
      <c r="M156" s="1079"/>
      <c r="N156" s="1079"/>
    </row>
    <row r="157" spans="1:14" x14ac:dyDescent="0.25">
      <c r="A157" s="1079"/>
      <c r="B157" s="1079"/>
      <c r="C157" s="1079"/>
      <c r="D157" s="1079"/>
      <c r="E157" s="1079"/>
      <c r="F157" s="1079"/>
      <c r="G157" s="1079"/>
      <c r="H157" s="1079"/>
      <c r="I157" s="1079"/>
      <c r="J157" s="1079"/>
      <c r="K157" s="1079"/>
      <c r="L157" s="1079"/>
      <c r="M157" s="1079"/>
      <c r="N157" s="1079"/>
    </row>
    <row r="158" spans="1:14" x14ac:dyDescent="0.25">
      <c r="A158" s="1079"/>
      <c r="B158" s="1079"/>
      <c r="C158" s="1079"/>
      <c r="D158" s="1079"/>
      <c r="E158" s="1079"/>
      <c r="F158" s="1079"/>
      <c r="G158" s="1079"/>
      <c r="H158" s="1079"/>
      <c r="I158" s="1079"/>
      <c r="J158" s="1079"/>
      <c r="K158" s="1079"/>
      <c r="L158" s="1079"/>
      <c r="M158" s="1079"/>
      <c r="N158" s="1079"/>
    </row>
    <row r="159" spans="1:14" x14ac:dyDescent="0.25">
      <c r="A159" s="1079"/>
      <c r="B159" s="1079"/>
      <c r="C159" s="1079"/>
      <c r="D159" s="1079"/>
      <c r="E159" s="1079"/>
      <c r="F159" s="1079"/>
      <c r="G159" s="1079"/>
      <c r="H159" s="1079"/>
      <c r="I159" s="1079"/>
      <c r="J159" s="1079"/>
      <c r="K159" s="1079"/>
      <c r="L159" s="1079"/>
      <c r="M159" s="1079"/>
      <c r="N159" s="1079"/>
    </row>
    <row r="160" spans="1:14" x14ac:dyDescent="0.25">
      <c r="A160" s="1079"/>
      <c r="B160" s="1079"/>
      <c r="C160" s="1079"/>
      <c r="D160" s="1079"/>
      <c r="E160" s="1079"/>
      <c r="F160" s="1079"/>
      <c r="G160" s="1079"/>
      <c r="H160" s="1079"/>
      <c r="I160" s="1079"/>
      <c r="J160" s="1079"/>
      <c r="K160" s="1079"/>
      <c r="L160" s="1079"/>
      <c r="M160" s="1079"/>
      <c r="N160" s="1079"/>
    </row>
    <row r="161" spans="1:14" x14ac:dyDescent="0.25">
      <c r="A161" s="1079"/>
      <c r="B161" s="1079"/>
      <c r="C161" s="1079"/>
      <c r="D161" s="1079"/>
      <c r="E161" s="1079"/>
      <c r="F161" s="1079"/>
      <c r="G161" s="1079"/>
      <c r="H161" s="1079"/>
      <c r="I161" s="1079"/>
      <c r="J161" s="1079"/>
      <c r="K161" s="1079"/>
      <c r="L161" s="1079"/>
      <c r="M161" s="1079"/>
      <c r="N161" s="1079"/>
    </row>
    <row r="162" spans="1:14" x14ac:dyDescent="0.25">
      <c r="A162" s="1079"/>
      <c r="B162" s="1079"/>
      <c r="C162" s="1079"/>
      <c r="D162" s="1079"/>
      <c r="E162" s="1079"/>
      <c r="F162" s="1079"/>
      <c r="G162" s="1079"/>
      <c r="H162" s="1079"/>
      <c r="I162" s="1079"/>
      <c r="J162" s="1079"/>
      <c r="K162" s="1079"/>
      <c r="L162" s="1079"/>
      <c r="M162" s="1079"/>
      <c r="N162" s="1079"/>
    </row>
    <row r="163" spans="1:14" x14ac:dyDescent="0.25">
      <c r="A163" s="1079"/>
      <c r="B163" s="1079"/>
      <c r="C163" s="1079"/>
      <c r="D163" s="1079"/>
      <c r="E163" s="1079"/>
      <c r="F163" s="1079"/>
      <c r="G163" s="1079"/>
      <c r="H163" s="1079"/>
      <c r="I163" s="1079"/>
      <c r="J163" s="1079"/>
      <c r="K163" s="1079"/>
      <c r="L163" s="1079"/>
      <c r="M163" s="1079"/>
      <c r="N163" s="1079"/>
    </row>
    <row r="164" spans="1:14" x14ac:dyDescent="0.25">
      <c r="A164" s="1079"/>
      <c r="B164" s="1079"/>
      <c r="C164" s="1079"/>
      <c r="D164" s="1079"/>
      <c r="E164" s="1079"/>
      <c r="F164" s="1079"/>
      <c r="G164" s="1079"/>
      <c r="H164" s="1079"/>
      <c r="I164" s="1079"/>
      <c r="J164" s="1079"/>
      <c r="K164" s="1079"/>
      <c r="L164" s="1079"/>
      <c r="M164" s="1079"/>
      <c r="N164" s="1079"/>
    </row>
    <row r="165" spans="1:14" x14ac:dyDescent="0.25">
      <c r="A165" s="1079"/>
      <c r="B165" s="1079"/>
      <c r="C165" s="1079"/>
      <c r="D165" s="1079"/>
      <c r="E165" s="1079"/>
      <c r="F165" s="1079"/>
      <c r="G165" s="1079"/>
      <c r="H165" s="1079"/>
      <c r="I165" s="1079"/>
      <c r="J165" s="1079"/>
      <c r="K165" s="1079"/>
      <c r="L165" s="1079"/>
      <c r="M165" s="1079"/>
      <c r="N165" s="1079"/>
    </row>
    <row r="166" spans="1:14" x14ac:dyDescent="0.25">
      <c r="A166" s="1079"/>
      <c r="B166" s="1079"/>
      <c r="C166" s="1079"/>
      <c r="D166" s="1079"/>
      <c r="E166" s="1079"/>
      <c r="F166" s="1079"/>
      <c r="G166" s="1079"/>
      <c r="H166" s="1079"/>
      <c r="I166" s="1079"/>
      <c r="J166" s="1079"/>
      <c r="K166" s="1079"/>
      <c r="L166" s="1079"/>
      <c r="M166" s="1079"/>
      <c r="N166" s="1079"/>
    </row>
    <row r="167" spans="1:14" x14ac:dyDescent="0.25">
      <c r="A167" s="1079"/>
      <c r="B167" s="1079"/>
      <c r="C167" s="1079"/>
      <c r="D167" s="1079"/>
      <c r="E167" s="1079"/>
      <c r="F167" s="1079"/>
      <c r="G167" s="1079"/>
      <c r="H167" s="1079"/>
      <c r="I167" s="1079"/>
      <c r="J167" s="1079"/>
      <c r="K167" s="1079"/>
      <c r="L167" s="1079"/>
      <c r="M167" s="1079"/>
      <c r="N167" s="1079"/>
    </row>
    <row r="168" spans="1:14" x14ac:dyDescent="0.25">
      <c r="A168" s="1079"/>
      <c r="B168" s="1079"/>
      <c r="C168" s="1079"/>
      <c r="D168" s="1079"/>
      <c r="E168" s="1079"/>
      <c r="F168" s="1079"/>
      <c r="G168" s="1079"/>
      <c r="H168" s="1079"/>
      <c r="I168" s="1079"/>
      <c r="J168" s="1079"/>
      <c r="K168" s="1079"/>
      <c r="L168" s="1079"/>
      <c r="M168" s="1079"/>
      <c r="N168" s="1079"/>
    </row>
    <row r="169" spans="1:14" x14ac:dyDescent="0.25">
      <c r="A169" s="1079"/>
      <c r="B169" s="1079"/>
      <c r="C169" s="1079"/>
      <c r="D169" s="1079"/>
      <c r="E169" s="1079"/>
      <c r="F169" s="1079"/>
      <c r="G169" s="1079"/>
      <c r="H169" s="1079"/>
      <c r="I169" s="1079"/>
      <c r="J169" s="1079"/>
      <c r="K169" s="1079"/>
      <c r="L169" s="1079"/>
      <c r="M169" s="1079"/>
      <c r="N169" s="1079"/>
    </row>
    <row r="170" spans="1:14" x14ac:dyDescent="0.25">
      <c r="A170" s="1079"/>
      <c r="B170" s="1079"/>
      <c r="C170" s="1079"/>
      <c r="D170" s="1079"/>
      <c r="E170" s="1079"/>
      <c r="F170" s="1079"/>
      <c r="G170" s="1079"/>
      <c r="H170" s="1079"/>
      <c r="I170" s="1079"/>
      <c r="J170" s="1079"/>
      <c r="K170" s="1079"/>
      <c r="L170" s="1079"/>
      <c r="M170" s="1079"/>
      <c r="N170" s="1079"/>
    </row>
    <row r="171" spans="1:14" x14ac:dyDescent="0.25">
      <c r="A171" s="1079"/>
      <c r="B171" s="1079"/>
      <c r="C171" s="1079"/>
      <c r="D171" s="1079"/>
      <c r="E171" s="1079"/>
      <c r="F171" s="1079"/>
      <c r="G171" s="1079"/>
      <c r="H171" s="1079"/>
      <c r="I171" s="1079"/>
      <c r="J171" s="1079"/>
      <c r="K171" s="1079"/>
      <c r="L171" s="1079"/>
      <c r="M171" s="1079"/>
      <c r="N171" s="1079"/>
    </row>
    <row r="172" spans="1:14" x14ac:dyDescent="0.25">
      <c r="A172" s="1079"/>
      <c r="B172" s="1079"/>
      <c r="C172" s="1079"/>
      <c r="D172" s="1079"/>
      <c r="E172" s="1079"/>
      <c r="F172" s="1079"/>
      <c r="G172" s="1079"/>
      <c r="H172" s="1079"/>
      <c r="I172" s="1079"/>
      <c r="J172" s="1079"/>
      <c r="K172" s="1079"/>
      <c r="L172" s="1079"/>
      <c r="M172" s="1079"/>
      <c r="N172" s="1079"/>
    </row>
    <row r="173" spans="1:14" x14ac:dyDescent="0.25">
      <c r="A173" s="1079"/>
      <c r="B173" s="1079"/>
      <c r="C173" s="1079"/>
      <c r="D173" s="1079"/>
      <c r="E173" s="1079"/>
      <c r="F173" s="1079"/>
      <c r="G173" s="1079"/>
      <c r="H173" s="1079"/>
      <c r="I173" s="1079"/>
      <c r="J173" s="1079"/>
      <c r="K173" s="1079"/>
      <c r="L173" s="1079"/>
      <c r="M173" s="1079"/>
      <c r="N173" s="1079"/>
    </row>
    <row r="174" spans="1:14" x14ac:dyDescent="0.25">
      <c r="A174" s="1079"/>
      <c r="B174" s="1079"/>
      <c r="C174" s="1079"/>
      <c r="D174" s="1079"/>
      <c r="E174" s="1079"/>
      <c r="F174" s="1079"/>
      <c r="G174" s="1079"/>
      <c r="H174" s="1079"/>
      <c r="I174" s="1079"/>
      <c r="J174" s="1079"/>
      <c r="K174" s="1079"/>
      <c r="L174" s="1079"/>
      <c r="M174" s="1079"/>
      <c r="N174" s="1079"/>
    </row>
    <row r="175" spans="1:14" x14ac:dyDescent="0.25">
      <c r="A175" s="1079"/>
      <c r="B175" s="1079"/>
      <c r="C175" s="1079"/>
      <c r="D175" s="1079"/>
      <c r="E175" s="1079"/>
      <c r="F175" s="1079"/>
      <c r="G175" s="1079"/>
      <c r="H175" s="1079"/>
      <c r="I175" s="1079"/>
      <c r="J175" s="1079"/>
      <c r="K175" s="1079"/>
      <c r="L175" s="1079"/>
      <c r="M175" s="1079"/>
      <c r="N175" s="1079"/>
    </row>
    <row r="176" spans="1:14" x14ac:dyDescent="0.25">
      <c r="A176" s="1079"/>
      <c r="B176" s="1079"/>
      <c r="C176" s="1079"/>
      <c r="D176" s="1079"/>
      <c r="E176" s="1079"/>
      <c r="F176" s="1079"/>
      <c r="G176" s="1079"/>
      <c r="H176" s="1079"/>
      <c r="I176" s="1079"/>
      <c r="J176" s="1079"/>
      <c r="K176" s="1079"/>
      <c r="L176" s="1079"/>
      <c r="M176" s="1079"/>
      <c r="N176" s="1079"/>
    </row>
    <row r="177" spans="1:14" x14ac:dyDescent="0.25">
      <c r="A177" s="1079"/>
      <c r="B177" s="1079"/>
      <c r="C177" s="1079"/>
      <c r="D177" s="1079"/>
      <c r="E177" s="1079"/>
      <c r="F177" s="1079"/>
      <c r="G177" s="1079"/>
      <c r="H177" s="1079"/>
      <c r="I177" s="1079"/>
      <c r="J177" s="1079"/>
      <c r="K177" s="1079"/>
      <c r="L177" s="1079"/>
      <c r="M177" s="1079"/>
      <c r="N177" s="1079"/>
    </row>
    <row r="178" spans="1:14" x14ac:dyDescent="0.25">
      <c r="A178" s="1079"/>
      <c r="B178" s="1079"/>
      <c r="C178" s="1079"/>
      <c r="D178" s="1079"/>
      <c r="E178" s="1079"/>
      <c r="F178" s="1079"/>
      <c r="G178" s="1079"/>
      <c r="H178" s="1079"/>
      <c r="I178" s="1079"/>
      <c r="J178" s="1079"/>
      <c r="K178" s="1079"/>
      <c r="L178" s="1079"/>
      <c r="M178" s="1079"/>
      <c r="N178" s="1079"/>
    </row>
    <row r="179" spans="1:14" x14ac:dyDescent="0.25">
      <c r="A179" s="1079"/>
      <c r="B179" s="1079"/>
      <c r="C179" s="1079"/>
      <c r="D179" s="1079"/>
      <c r="E179" s="1079"/>
      <c r="F179" s="1079"/>
      <c r="G179" s="1079"/>
      <c r="H179" s="1079"/>
      <c r="I179" s="1079"/>
      <c r="J179" s="1079"/>
      <c r="K179" s="1079"/>
      <c r="L179" s="1079"/>
      <c r="M179" s="1079"/>
      <c r="N179" s="1079"/>
    </row>
    <row r="180" spans="1:14" x14ac:dyDescent="0.25">
      <c r="A180" s="1079"/>
      <c r="B180" s="1079"/>
      <c r="C180" s="1079"/>
      <c r="D180" s="1079"/>
      <c r="E180" s="1079"/>
      <c r="F180" s="1079"/>
      <c r="G180" s="1079"/>
      <c r="H180" s="1079"/>
      <c r="I180" s="1079"/>
      <c r="J180" s="1079"/>
      <c r="K180" s="1079"/>
      <c r="L180" s="1079"/>
      <c r="M180" s="1079"/>
      <c r="N180" s="1079"/>
    </row>
    <row r="181" spans="1:14" x14ac:dyDescent="0.25">
      <c r="A181" s="1079"/>
      <c r="B181" s="1079"/>
      <c r="C181" s="1079"/>
      <c r="D181" s="1079"/>
      <c r="E181" s="1079"/>
      <c r="F181" s="1079"/>
      <c r="G181" s="1079"/>
      <c r="H181" s="1079"/>
      <c r="I181" s="1079"/>
      <c r="J181" s="1079"/>
      <c r="K181" s="1079"/>
      <c r="L181" s="1079"/>
      <c r="M181" s="1079"/>
      <c r="N181" s="1079"/>
    </row>
    <row r="182" spans="1:14" x14ac:dyDescent="0.25">
      <c r="A182" s="1079"/>
      <c r="B182" s="1079"/>
      <c r="C182" s="1079"/>
      <c r="D182" s="1079"/>
      <c r="E182" s="1079"/>
      <c r="F182" s="1079"/>
      <c r="G182" s="1079"/>
      <c r="H182" s="1079"/>
      <c r="I182" s="1079"/>
      <c r="J182" s="1079"/>
      <c r="K182" s="1079"/>
      <c r="L182" s="1079"/>
      <c r="M182" s="1079"/>
      <c r="N182" s="1079"/>
    </row>
    <row r="183" spans="1:14" x14ac:dyDescent="0.25">
      <c r="A183" s="1079"/>
      <c r="B183" s="1079"/>
      <c r="C183" s="1079"/>
      <c r="D183" s="1079"/>
      <c r="E183" s="1079"/>
      <c r="F183" s="1079"/>
      <c r="G183" s="1079"/>
      <c r="H183" s="1079"/>
      <c r="I183" s="1079"/>
      <c r="J183" s="1079"/>
      <c r="K183" s="1079"/>
      <c r="L183" s="1079"/>
      <c r="M183" s="1079"/>
      <c r="N183" s="1079"/>
    </row>
    <row r="184" spans="1:14" x14ac:dyDescent="0.25">
      <c r="A184" s="1079"/>
      <c r="B184" s="1079"/>
      <c r="C184" s="1079"/>
      <c r="D184" s="1079"/>
      <c r="E184" s="1079"/>
      <c r="F184" s="1079"/>
      <c r="G184" s="1079"/>
      <c r="H184" s="1079"/>
      <c r="I184" s="1079"/>
      <c r="J184" s="1079"/>
      <c r="K184" s="1079"/>
      <c r="L184" s="1079"/>
      <c r="M184" s="1079"/>
      <c r="N184" s="1079"/>
    </row>
    <row r="185" spans="1:14" x14ac:dyDescent="0.25">
      <c r="A185" s="1079"/>
      <c r="B185" s="1079"/>
      <c r="C185" s="1079"/>
      <c r="D185" s="1079"/>
      <c r="E185" s="1079"/>
      <c r="F185" s="1079"/>
      <c r="G185" s="1079"/>
      <c r="H185" s="1079"/>
      <c r="I185" s="1079"/>
      <c r="J185" s="1079"/>
      <c r="K185" s="1079"/>
      <c r="L185" s="1079"/>
      <c r="M185" s="1079"/>
      <c r="N185" s="1079"/>
    </row>
    <row r="186" spans="1:14" x14ac:dyDescent="0.25">
      <c r="A186" s="1079"/>
      <c r="B186" s="1079"/>
      <c r="C186" s="1079"/>
      <c r="D186" s="1079"/>
      <c r="E186" s="1079"/>
      <c r="F186" s="1079"/>
      <c r="G186" s="1079"/>
      <c r="H186" s="1079"/>
      <c r="I186" s="1079"/>
      <c r="J186" s="1079"/>
      <c r="K186" s="1079"/>
      <c r="L186" s="1079"/>
      <c r="M186" s="1079"/>
      <c r="N186" s="1079"/>
    </row>
    <row r="187" spans="1:14" x14ac:dyDescent="0.25">
      <c r="A187" s="1079"/>
      <c r="B187" s="1079"/>
      <c r="C187" s="1079"/>
      <c r="D187" s="1079"/>
      <c r="E187" s="1079"/>
      <c r="F187" s="1079"/>
      <c r="G187" s="1079"/>
      <c r="H187" s="1079"/>
      <c r="I187" s="1079"/>
      <c r="J187" s="1079"/>
      <c r="K187" s="1079"/>
      <c r="L187" s="1079"/>
      <c r="M187" s="1079"/>
      <c r="N187" s="1079"/>
    </row>
    <row r="188" spans="1:14" x14ac:dyDescent="0.25">
      <c r="A188" s="1079"/>
      <c r="B188" s="1079"/>
      <c r="C188" s="1079"/>
      <c r="D188" s="1079"/>
      <c r="E188" s="1079"/>
      <c r="F188" s="1079"/>
      <c r="G188" s="1079"/>
      <c r="H188" s="1079"/>
      <c r="I188" s="1079"/>
      <c r="J188" s="1079"/>
      <c r="K188" s="1079"/>
      <c r="L188" s="1079"/>
      <c r="M188" s="1079"/>
      <c r="N188" s="1079"/>
    </row>
    <row r="189" spans="1:14" x14ac:dyDescent="0.25">
      <c r="A189" s="1079"/>
      <c r="B189" s="1079"/>
      <c r="C189" s="1079"/>
      <c r="D189" s="1079"/>
      <c r="E189" s="1079"/>
      <c r="F189" s="1079"/>
      <c r="G189" s="1079"/>
      <c r="H189" s="1079"/>
      <c r="I189" s="1079"/>
      <c r="J189" s="1079"/>
      <c r="K189" s="1079"/>
      <c r="L189" s="1079"/>
      <c r="M189" s="1079"/>
      <c r="N189" s="1079"/>
    </row>
    <row r="190" spans="1:14" x14ac:dyDescent="0.25">
      <c r="A190" s="1079"/>
      <c r="B190" s="1079"/>
      <c r="C190" s="1079"/>
      <c r="D190" s="1079"/>
      <c r="E190" s="1079"/>
      <c r="F190" s="1079"/>
      <c r="G190" s="1079"/>
      <c r="H190" s="1079"/>
      <c r="I190" s="1079"/>
      <c r="J190" s="1079"/>
      <c r="K190" s="1079"/>
      <c r="L190" s="1079"/>
      <c r="M190" s="1079"/>
      <c r="N190" s="1079"/>
    </row>
    <row r="191" spans="1:14" x14ac:dyDescent="0.25">
      <c r="A191" s="1079"/>
      <c r="B191" s="1079"/>
      <c r="C191" s="1079"/>
      <c r="D191" s="1079"/>
      <c r="E191" s="1079"/>
      <c r="F191" s="1079"/>
      <c r="G191" s="1079"/>
      <c r="H191" s="1079"/>
      <c r="I191" s="1079"/>
      <c r="J191" s="1079"/>
      <c r="K191" s="1079"/>
      <c r="L191" s="1079"/>
      <c r="M191" s="1079"/>
      <c r="N191" s="1079"/>
    </row>
    <row r="192" spans="1:14" x14ac:dyDescent="0.25">
      <c r="A192" s="1079"/>
      <c r="B192" s="1079"/>
      <c r="C192" s="1079"/>
      <c r="D192" s="1079"/>
      <c r="E192" s="1079"/>
      <c r="F192" s="1079"/>
      <c r="G192" s="1079"/>
      <c r="H192" s="1079"/>
      <c r="I192" s="1079"/>
      <c r="J192" s="1079"/>
      <c r="K192" s="1079"/>
      <c r="L192" s="1079"/>
      <c r="M192" s="1079"/>
      <c r="N192" s="1079"/>
    </row>
    <row r="193" spans="1:14" x14ac:dyDescent="0.25">
      <c r="A193" s="1079"/>
      <c r="B193" s="1079"/>
      <c r="C193" s="1079"/>
      <c r="D193" s="1079"/>
      <c r="E193" s="1079"/>
      <c r="F193" s="1079"/>
      <c r="G193" s="1079"/>
      <c r="H193" s="1079"/>
      <c r="I193" s="1079"/>
      <c r="J193" s="1079"/>
      <c r="K193" s="1079"/>
      <c r="L193" s="1079"/>
      <c r="M193" s="1079"/>
      <c r="N193" s="1079"/>
    </row>
    <row r="194" spans="1:14" x14ac:dyDescent="0.25">
      <c r="A194" s="1079"/>
      <c r="B194" s="1079"/>
      <c r="C194" s="1079"/>
      <c r="D194" s="1079"/>
      <c r="E194" s="1079"/>
      <c r="F194" s="1079"/>
      <c r="G194" s="1079"/>
      <c r="H194" s="1079"/>
      <c r="I194" s="1079"/>
      <c r="J194" s="1079"/>
      <c r="K194" s="1079"/>
      <c r="L194" s="1079"/>
      <c r="M194" s="1079"/>
      <c r="N194" s="1079"/>
    </row>
    <row r="195" spans="1:14" x14ac:dyDescent="0.25">
      <c r="A195" s="1079"/>
      <c r="B195" s="1079"/>
      <c r="C195" s="1079"/>
      <c r="D195" s="1079"/>
      <c r="E195" s="1079"/>
      <c r="F195" s="1079"/>
      <c r="G195" s="1079"/>
      <c r="H195" s="1079"/>
      <c r="I195" s="1079"/>
      <c r="J195" s="1079"/>
      <c r="K195" s="1079"/>
      <c r="L195" s="1079"/>
      <c r="M195" s="1079"/>
      <c r="N195" s="1079"/>
    </row>
    <row r="196" spans="1:14" x14ac:dyDescent="0.25">
      <c r="A196" s="1079"/>
      <c r="B196" s="1079"/>
      <c r="C196" s="1079"/>
      <c r="D196" s="1079"/>
      <c r="E196" s="1079"/>
      <c r="F196" s="1079"/>
      <c r="G196" s="1079"/>
      <c r="H196" s="1079"/>
      <c r="I196" s="1079"/>
      <c r="J196" s="1079"/>
      <c r="K196" s="1079"/>
      <c r="L196" s="1079"/>
      <c r="M196" s="1079"/>
      <c r="N196" s="1079"/>
    </row>
    <row r="197" spans="1:14" x14ac:dyDescent="0.25">
      <c r="A197" s="1079"/>
      <c r="B197" s="1079"/>
      <c r="C197" s="1079"/>
      <c r="D197" s="1079"/>
      <c r="E197" s="1079"/>
      <c r="F197" s="1079"/>
      <c r="G197" s="1079"/>
      <c r="H197" s="1079"/>
      <c r="I197" s="1079"/>
      <c r="J197" s="1079"/>
      <c r="K197" s="1079"/>
      <c r="L197" s="1079"/>
      <c r="M197" s="1079"/>
      <c r="N197" s="1079"/>
    </row>
    <row r="198" spans="1:14" x14ac:dyDescent="0.25">
      <c r="A198" s="1079"/>
      <c r="B198" s="1079"/>
      <c r="C198" s="1079"/>
      <c r="D198" s="1079"/>
      <c r="E198" s="1079"/>
      <c r="F198" s="1079"/>
      <c r="G198" s="1079"/>
      <c r="H198" s="1079"/>
      <c r="I198" s="1079"/>
      <c r="J198" s="1079"/>
      <c r="K198" s="1079"/>
      <c r="L198" s="1079"/>
      <c r="M198" s="1079"/>
      <c r="N198" s="1079"/>
    </row>
    <row r="199" spans="1:14" x14ac:dyDescent="0.25">
      <c r="A199" s="1079"/>
      <c r="B199" s="1079"/>
      <c r="C199" s="1079"/>
      <c r="D199" s="1079"/>
      <c r="E199" s="1079"/>
      <c r="F199" s="1079"/>
      <c r="G199" s="1079"/>
      <c r="H199" s="1079"/>
      <c r="I199" s="1079"/>
      <c r="J199" s="1079"/>
      <c r="K199" s="1079"/>
      <c r="L199" s="1079"/>
      <c r="M199" s="1079"/>
      <c r="N199" s="1079"/>
    </row>
    <row r="200" spans="1:14" x14ac:dyDescent="0.25">
      <c r="A200" s="1079"/>
      <c r="B200" s="1079"/>
      <c r="C200" s="1079"/>
      <c r="D200" s="1079"/>
      <c r="E200" s="1079"/>
      <c r="F200" s="1079"/>
      <c r="G200" s="1079"/>
      <c r="H200" s="1079"/>
      <c r="I200" s="1079"/>
      <c r="J200" s="1079"/>
      <c r="K200" s="1079"/>
      <c r="L200" s="1079"/>
      <c r="M200" s="1079"/>
      <c r="N200" s="1079"/>
    </row>
    <row r="201" spans="1:14" x14ac:dyDescent="0.25">
      <c r="A201" s="1079"/>
      <c r="B201" s="1079"/>
      <c r="C201" s="1079"/>
      <c r="D201" s="1079"/>
      <c r="E201" s="1079"/>
      <c r="F201" s="1079"/>
      <c r="G201" s="1079"/>
      <c r="H201" s="1079"/>
      <c r="I201" s="1079"/>
      <c r="J201" s="1079"/>
      <c r="K201" s="1079"/>
      <c r="L201" s="1079"/>
      <c r="M201" s="1079"/>
      <c r="N201" s="1079"/>
    </row>
    <row r="202" spans="1:14" x14ac:dyDescent="0.25">
      <c r="A202" s="1079"/>
      <c r="B202" s="1079"/>
      <c r="C202" s="1079"/>
      <c r="D202" s="1079"/>
      <c r="E202" s="1079"/>
      <c r="F202" s="1079"/>
      <c r="G202" s="1079"/>
      <c r="H202" s="1079"/>
      <c r="I202" s="1079"/>
      <c r="J202" s="1079"/>
      <c r="K202" s="1079"/>
      <c r="L202" s="1079"/>
      <c r="M202" s="1079"/>
      <c r="N202" s="1079"/>
    </row>
    <row r="203" spans="1:14" x14ac:dyDescent="0.25">
      <c r="A203" s="1079"/>
      <c r="B203" s="1079"/>
      <c r="C203" s="1079"/>
      <c r="D203" s="1079"/>
      <c r="E203" s="1079"/>
      <c r="F203" s="1079"/>
      <c r="G203" s="1079"/>
      <c r="H203" s="1079"/>
      <c r="I203" s="1079"/>
      <c r="J203" s="1079"/>
      <c r="K203" s="1079"/>
      <c r="L203" s="1079"/>
      <c r="M203" s="1079"/>
      <c r="N203" s="1079"/>
    </row>
    <row r="204" spans="1:14" x14ac:dyDescent="0.25">
      <c r="A204" s="1079"/>
      <c r="B204" s="1079"/>
      <c r="C204" s="1079"/>
      <c r="D204" s="1079"/>
      <c r="E204" s="1079"/>
      <c r="F204" s="1079"/>
      <c r="G204" s="1079"/>
      <c r="H204" s="1079"/>
      <c r="I204" s="1079"/>
      <c r="J204" s="1079"/>
      <c r="K204" s="1079"/>
      <c r="L204" s="1079"/>
      <c r="M204" s="1079"/>
      <c r="N204" s="1079"/>
    </row>
    <row r="205" spans="1:14" x14ac:dyDescent="0.25">
      <c r="A205" s="1079"/>
      <c r="B205" s="1079"/>
      <c r="C205" s="1079"/>
      <c r="D205" s="1079"/>
      <c r="E205" s="1079"/>
      <c r="F205" s="1079"/>
      <c r="G205" s="1079"/>
      <c r="H205" s="1079"/>
      <c r="I205" s="1079"/>
      <c r="J205" s="1079"/>
      <c r="K205" s="1079"/>
      <c r="L205" s="1079"/>
      <c r="M205" s="1079"/>
      <c r="N205" s="1079"/>
    </row>
    <row r="206" spans="1:14" x14ac:dyDescent="0.25">
      <c r="A206" s="1079"/>
      <c r="B206" s="1079"/>
      <c r="C206" s="1079"/>
      <c r="D206" s="1079"/>
      <c r="E206" s="1079"/>
      <c r="F206" s="1079"/>
      <c r="G206" s="1079"/>
      <c r="H206" s="1079"/>
      <c r="I206" s="1079"/>
      <c r="J206" s="1079"/>
      <c r="K206" s="1079"/>
      <c r="L206" s="1079"/>
      <c r="M206" s="1079"/>
      <c r="N206" s="1079"/>
    </row>
    <row r="207" spans="1:14" x14ac:dyDescent="0.25">
      <c r="A207" s="1079"/>
      <c r="B207" s="1079"/>
      <c r="C207" s="1079"/>
      <c r="D207" s="1079"/>
      <c r="E207" s="1079"/>
      <c r="F207" s="1079"/>
      <c r="G207" s="1079"/>
      <c r="H207" s="1079"/>
      <c r="I207" s="1079"/>
      <c r="J207" s="1079"/>
      <c r="K207" s="1079"/>
      <c r="L207" s="1079"/>
      <c r="M207" s="1079"/>
      <c r="N207" s="1079"/>
    </row>
    <row r="208" spans="1:14" x14ac:dyDescent="0.25">
      <c r="A208" s="1079"/>
      <c r="B208" s="1079"/>
      <c r="C208" s="1079"/>
      <c r="D208" s="1079"/>
      <c r="E208" s="1079"/>
      <c r="F208" s="1079"/>
      <c r="G208" s="1079"/>
      <c r="H208" s="1079"/>
      <c r="I208" s="1079"/>
      <c r="J208" s="1080"/>
      <c r="K208" s="1080"/>
      <c r="L208" s="1080"/>
      <c r="M208" s="1080"/>
      <c r="N208" s="1080"/>
    </row>
    <row r="209" spans="1:9" x14ac:dyDescent="0.25">
      <c r="A209" s="1079"/>
      <c r="B209" s="1079"/>
      <c r="C209" s="1079"/>
      <c r="D209" s="1079"/>
      <c r="E209" s="1079"/>
      <c r="F209" s="1079"/>
      <c r="G209" s="1079"/>
      <c r="H209" s="1079"/>
      <c r="I209" s="1079"/>
    </row>
    <row r="210" spans="1:9" x14ac:dyDescent="0.25">
      <c r="A210" s="1079"/>
      <c r="B210" s="1079"/>
      <c r="C210" s="1079"/>
      <c r="D210" s="1079"/>
      <c r="E210" s="1079"/>
      <c r="F210" s="1079"/>
      <c r="G210" s="1079"/>
      <c r="H210" s="1079"/>
      <c r="I210" s="1079"/>
    </row>
    <row r="211" spans="1:9" x14ac:dyDescent="0.25">
      <c r="A211" s="1079"/>
      <c r="B211" s="1079"/>
      <c r="C211" s="1079"/>
      <c r="D211" s="1079"/>
      <c r="E211" s="1079"/>
      <c r="F211" s="1079"/>
      <c r="G211" s="1079"/>
      <c r="H211" s="1079"/>
      <c r="I211" s="1079"/>
    </row>
    <row r="212" spans="1:9" x14ac:dyDescent="0.25">
      <c r="A212" s="1079"/>
      <c r="B212" s="1079"/>
      <c r="C212" s="1079"/>
      <c r="D212" s="1079"/>
      <c r="E212" s="1079"/>
      <c r="F212" s="1079"/>
      <c r="G212" s="1079"/>
      <c r="H212" s="1079"/>
      <c r="I212" s="1079"/>
    </row>
    <row r="213" spans="1:9" x14ac:dyDescent="0.25">
      <c r="A213" s="1079"/>
      <c r="B213" s="1079"/>
      <c r="C213" s="1079"/>
      <c r="D213" s="1079"/>
      <c r="E213" s="1079"/>
      <c r="F213" s="1079"/>
      <c r="G213" s="1079"/>
      <c r="H213" s="1079"/>
      <c r="I213" s="1079"/>
    </row>
    <row r="214" spans="1:9" x14ac:dyDescent="0.25">
      <c r="A214" s="1079"/>
      <c r="B214" s="1079"/>
      <c r="C214" s="1079"/>
      <c r="D214" s="1079"/>
      <c r="E214" s="1079"/>
      <c r="F214" s="1079"/>
      <c r="G214" s="1079"/>
      <c r="H214" s="1079"/>
      <c r="I214" s="1079"/>
    </row>
    <row r="215" spans="1:9" x14ac:dyDescent="0.25">
      <c r="A215" s="1079"/>
      <c r="B215" s="1079"/>
      <c r="C215" s="1079"/>
      <c r="D215" s="1079"/>
      <c r="E215" s="1079"/>
      <c r="F215" s="1079"/>
      <c r="G215" s="1079"/>
      <c r="H215" s="1079"/>
      <c r="I215" s="1079"/>
    </row>
    <row r="216" spans="1:9" x14ac:dyDescent="0.25">
      <c r="A216" s="1079"/>
      <c r="B216" s="1079"/>
      <c r="C216" s="1079"/>
      <c r="D216" s="1079"/>
      <c r="E216" s="1079"/>
      <c r="F216" s="1079"/>
      <c r="G216" s="1079"/>
      <c r="H216" s="1079"/>
      <c r="I216" s="1079"/>
    </row>
    <row r="217" spans="1:9" x14ac:dyDescent="0.25">
      <c r="A217" s="1079"/>
      <c r="B217" s="1079"/>
      <c r="C217" s="1079"/>
      <c r="D217" s="1079"/>
      <c r="E217" s="1079"/>
      <c r="F217" s="1079"/>
      <c r="G217" s="1079"/>
      <c r="H217" s="1079"/>
      <c r="I217" s="1079"/>
    </row>
    <row r="218" spans="1:9" x14ac:dyDescent="0.25">
      <c r="A218" s="1079"/>
      <c r="B218" s="1079"/>
      <c r="C218" s="1079"/>
      <c r="D218" s="1079"/>
      <c r="E218" s="1079"/>
      <c r="F218" s="1079"/>
      <c r="G218" s="1079"/>
      <c r="H218" s="1079"/>
      <c r="I218" s="1079"/>
    </row>
    <row r="219" spans="1:9" x14ac:dyDescent="0.25">
      <c r="A219" s="1079"/>
      <c r="B219" s="1079"/>
      <c r="C219" s="1079"/>
      <c r="D219" s="1079"/>
      <c r="E219" s="1079"/>
      <c r="F219" s="1079"/>
      <c r="G219" s="1079"/>
      <c r="H219" s="1079"/>
      <c r="I219" s="1079"/>
    </row>
    <row r="220" spans="1:9" x14ac:dyDescent="0.25">
      <c r="A220" s="1079"/>
      <c r="B220" s="1079"/>
      <c r="C220" s="1079"/>
      <c r="D220" s="1079"/>
      <c r="E220" s="1079"/>
      <c r="F220" s="1079"/>
      <c r="G220" s="1079"/>
      <c r="H220" s="1079"/>
      <c r="I220" s="1079"/>
    </row>
    <row r="221" spans="1:9" x14ac:dyDescent="0.25">
      <c r="A221" s="1079"/>
      <c r="B221" s="1079"/>
      <c r="C221" s="1079"/>
      <c r="D221" s="1079"/>
      <c r="E221" s="1079"/>
      <c r="F221" s="1079"/>
      <c r="G221" s="1079"/>
      <c r="H221" s="1079"/>
      <c r="I221" s="1079"/>
    </row>
    <row r="222" spans="1:9" x14ac:dyDescent="0.25">
      <c r="A222" s="1079"/>
      <c r="B222" s="1079"/>
      <c r="C222" s="1079"/>
      <c r="D222" s="1079"/>
      <c r="E222" s="1079"/>
      <c r="F222" s="1079"/>
      <c r="G222" s="1079"/>
      <c r="H222" s="1079"/>
      <c r="I222" s="1079"/>
    </row>
    <row r="223" spans="1:9" x14ac:dyDescent="0.25">
      <c r="A223" s="1079"/>
      <c r="B223" s="1079"/>
      <c r="C223" s="1079"/>
      <c r="D223" s="1079"/>
      <c r="E223" s="1079"/>
      <c r="F223" s="1079"/>
      <c r="G223" s="1079"/>
      <c r="H223" s="1079"/>
      <c r="I223" s="1079"/>
    </row>
    <row r="224" spans="1:9" x14ac:dyDescent="0.25">
      <c r="A224" s="1079"/>
      <c r="B224" s="1079"/>
      <c r="C224" s="1079"/>
      <c r="D224" s="1079"/>
      <c r="E224" s="1079"/>
      <c r="F224" s="1079"/>
      <c r="G224" s="1079"/>
      <c r="H224" s="1079"/>
      <c r="I224" s="1079"/>
    </row>
    <row r="225" spans="1:9" x14ac:dyDescent="0.25">
      <c r="A225" s="1079"/>
      <c r="B225" s="1079"/>
      <c r="C225" s="1079"/>
      <c r="D225" s="1079"/>
      <c r="E225" s="1079"/>
      <c r="F225" s="1079"/>
      <c r="G225" s="1079"/>
      <c r="H225" s="1079"/>
      <c r="I225" s="1079"/>
    </row>
    <row r="226" spans="1:9" x14ac:dyDescent="0.25">
      <c r="A226" s="1079"/>
      <c r="B226" s="1079"/>
      <c r="C226" s="1079"/>
      <c r="D226" s="1079"/>
      <c r="E226" s="1079"/>
      <c r="F226" s="1079"/>
      <c r="G226" s="1079"/>
      <c r="H226" s="1079"/>
      <c r="I226" s="1079"/>
    </row>
    <row r="227" spans="1:9" x14ac:dyDescent="0.25">
      <c r="A227" s="1079"/>
      <c r="B227" s="1079"/>
      <c r="C227" s="1079"/>
      <c r="D227" s="1079"/>
      <c r="E227" s="1079"/>
      <c r="F227" s="1079"/>
      <c r="G227" s="1079"/>
      <c r="H227" s="1079"/>
      <c r="I227" s="1079"/>
    </row>
    <row r="228" spans="1:9" x14ac:dyDescent="0.25">
      <c r="A228" s="1079"/>
      <c r="B228" s="1079"/>
      <c r="C228" s="1079"/>
      <c r="D228" s="1079"/>
      <c r="E228" s="1079"/>
      <c r="F228" s="1079"/>
      <c r="G228" s="1079"/>
      <c r="H228" s="1079"/>
      <c r="I228" s="1079"/>
    </row>
    <row r="229" spans="1:9" x14ac:dyDescent="0.25">
      <c r="A229" s="1079"/>
      <c r="B229" s="1079"/>
      <c r="C229" s="1079"/>
      <c r="D229" s="1079"/>
      <c r="E229" s="1079"/>
      <c r="F229" s="1079"/>
      <c r="G229" s="1079"/>
      <c r="H229" s="1079"/>
      <c r="I229" s="1079"/>
    </row>
    <row r="230" spans="1:9" x14ac:dyDescent="0.25">
      <c r="A230" s="1079"/>
      <c r="B230" s="1079"/>
      <c r="C230" s="1079"/>
      <c r="D230" s="1079"/>
      <c r="E230" s="1079"/>
      <c r="F230" s="1079"/>
      <c r="G230" s="1079"/>
      <c r="H230" s="1079"/>
      <c r="I230" s="1079"/>
    </row>
    <row r="231" spans="1:9" x14ac:dyDescent="0.25">
      <c r="A231" s="1079"/>
      <c r="B231" s="1079"/>
      <c r="C231" s="1079"/>
      <c r="D231" s="1079"/>
      <c r="E231" s="1079"/>
      <c r="F231" s="1079"/>
      <c r="G231" s="1079"/>
      <c r="H231" s="1079"/>
      <c r="I231" s="1079"/>
    </row>
    <row r="232" spans="1:9" x14ac:dyDescent="0.25">
      <c r="A232" s="1079"/>
      <c r="B232" s="1079"/>
      <c r="C232" s="1079"/>
      <c r="D232" s="1079"/>
      <c r="E232" s="1079"/>
      <c r="F232" s="1079"/>
      <c r="G232" s="1079"/>
      <c r="H232" s="1079"/>
      <c r="I232" s="1079"/>
    </row>
    <row r="233" spans="1:9" x14ac:dyDescent="0.25">
      <c r="A233" s="1079"/>
      <c r="B233" s="1079"/>
      <c r="C233" s="1079"/>
      <c r="D233" s="1079"/>
      <c r="E233" s="1079"/>
      <c r="F233" s="1079"/>
      <c r="G233" s="1079"/>
      <c r="H233" s="1079"/>
      <c r="I233" s="1079"/>
    </row>
    <row r="234" spans="1:9" x14ac:dyDescent="0.25">
      <c r="A234" s="1079"/>
      <c r="B234" s="1079"/>
      <c r="C234" s="1079"/>
      <c r="D234" s="1079"/>
      <c r="E234" s="1079"/>
      <c r="F234" s="1079"/>
      <c r="G234" s="1079"/>
      <c r="H234" s="1079"/>
      <c r="I234" s="1079"/>
    </row>
    <row r="235" spans="1:9" x14ac:dyDescent="0.25">
      <c r="A235" s="1079"/>
      <c r="B235" s="1079"/>
      <c r="C235" s="1079"/>
      <c r="D235" s="1079"/>
      <c r="E235" s="1079"/>
      <c r="F235" s="1079"/>
      <c r="G235" s="1079"/>
      <c r="H235" s="1079"/>
      <c r="I235" s="1079"/>
    </row>
    <row r="236" spans="1:9" x14ac:dyDescent="0.25">
      <c r="A236" s="1079"/>
      <c r="B236" s="1079"/>
      <c r="C236" s="1079"/>
      <c r="D236" s="1079"/>
      <c r="E236" s="1079"/>
      <c r="F236" s="1079"/>
      <c r="G236" s="1079"/>
      <c r="H236" s="1079"/>
      <c r="I236" s="1079"/>
    </row>
    <row r="237" spans="1:9" x14ac:dyDescent="0.25">
      <c r="A237" s="1079"/>
      <c r="B237" s="1079"/>
      <c r="C237" s="1079"/>
      <c r="D237" s="1079"/>
      <c r="E237" s="1079"/>
      <c r="F237" s="1079"/>
      <c r="G237" s="1079"/>
      <c r="H237" s="1079"/>
      <c r="I237" s="1079"/>
    </row>
    <row r="238" spans="1:9" x14ac:dyDescent="0.25">
      <c r="A238" s="1079"/>
      <c r="B238" s="1079"/>
      <c r="C238" s="1079"/>
      <c r="D238" s="1079"/>
      <c r="E238" s="1079"/>
      <c r="F238" s="1079"/>
      <c r="G238" s="1079"/>
      <c r="H238" s="1079"/>
      <c r="I238" s="1079"/>
    </row>
    <row r="239" spans="1:9" x14ac:dyDescent="0.25">
      <c r="A239" s="1079"/>
      <c r="B239" s="1079"/>
      <c r="C239" s="1079"/>
      <c r="D239" s="1079"/>
      <c r="E239" s="1079"/>
      <c r="F239" s="1079"/>
      <c r="G239" s="1079"/>
      <c r="H239" s="1079"/>
      <c r="I239" s="1079"/>
    </row>
    <row r="240" spans="1:9" x14ac:dyDescent="0.25">
      <c r="A240" s="1079"/>
      <c r="B240" s="1079"/>
      <c r="C240" s="1079"/>
      <c r="D240" s="1079"/>
      <c r="E240" s="1079"/>
      <c r="F240" s="1079"/>
      <c r="G240" s="1079"/>
      <c r="H240" s="1079"/>
      <c r="I240" s="1079"/>
    </row>
    <row r="241" spans="1:9" x14ac:dyDescent="0.25">
      <c r="A241" s="1079"/>
      <c r="B241" s="1079"/>
      <c r="C241" s="1079"/>
      <c r="D241" s="1079"/>
      <c r="E241" s="1079"/>
      <c r="F241" s="1079"/>
      <c r="G241" s="1079"/>
      <c r="H241" s="1079"/>
      <c r="I241" s="1079"/>
    </row>
    <row r="242" spans="1:9" x14ac:dyDescent="0.25">
      <c r="A242" s="1079"/>
      <c r="B242" s="1079"/>
      <c r="C242" s="1079"/>
      <c r="D242" s="1079"/>
      <c r="E242" s="1079"/>
      <c r="F242" s="1079"/>
      <c r="G242" s="1079"/>
      <c r="H242" s="1079"/>
      <c r="I242" s="1079"/>
    </row>
    <row r="243" spans="1:9" x14ac:dyDescent="0.25">
      <c r="A243" s="1079"/>
      <c r="B243" s="1079"/>
      <c r="C243" s="1079"/>
      <c r="D243" s="1079"/>
      <c r="E243" s="1079"/>
      <c r="F243" s="1079"/>
      <c r="G243" s="1079"/>
      <c r="H243" s="1079"/>
      <c r="I243" s="1079"/>
    </row>
    <row r="244" spans="1:9" x14ac:dyDescent="0.25">
      <c r="A244" s="1079"/>
      <c r="B244" s="1079"/>
      <c r="C244" s="1079"/>
      <c r="D244" s="1079"/>
      <c r="E244" s="1079"/>
      <c r="F244" s="1079"/>
      <c r="G244" s="1079"/>
      <c r="H244" s="1079"/>
      <c r="I244" s="1079"/>
    </row>
    <row r="245" spans="1:9" x14ac:dyDescent="0.25">
      <c r="A245" s="1079"/>
      <c r="B245" s="1079"/>
      <c r="C245" s="1079"/>
      <c r="D245" s="1079"/>
      <c r="E245" s="1079"/>
      <c r="F245" s="1079"/>
      <c r="G245" s="1079"/>
      <c r="H245" s="1079"/>
      <c r="I245" s="1079"/>
    </row>
    <row r="246" spans="1:9" x14ac:dyDescent="0.25">
      <c r="A246" s="1079"/>
      <c r="B246" s="1079"/>
      <c r="C246" s="1079"/>
      <c r="D246" s="1079"/>
      <c r="E246" s="1079"/>
      <c r="F246" s="1079"/>
      <c r="G246" s="1079"/>
      <c r="H246" s="1079"/>
      <c r="I246" s="1079"/>
    </row>
    <row r="247" spans="1:9" x14ac:dyDescent="0.25">
      <c r="A247" s="1079"/>
      <c r="B247" s="1079"/>
      <c r="C247" s="1079"/>
      <c r="D247" s="1079"/>
      <c r="E247" s="1079"/>
      <c r="F247" s="1079"/>
      <c r="G247" s="1079"/>
      <c r="H247" s="1079"/>
      <c r="I247" s="1079"/>
    </row>
    <row r="248" spans="1:9" x14ac:dyDescent="0.25">
      <c r="A248" s="1079"/>
      <c r="B248" s="1079"/>
      <c r="C248" s="1079"/>
      <c r="D248" s="1079"/>
      <c r="E248" s="1079"/>
      <c r="F248" s="1079"/>
      <c r="G248" s="1079"/>
      <c r="H248" s="1079"/>
      <c r="I248" s="1079"/>
    </row>
    <row r="249" spans="1:9" x14ac:dyDescent="0.25">
      <c r="A249" s="1079"/>
      <c r="B249" s="1079"/>
      <c r="C249" s="1079"/>
      <c r="D249" s="1079"/>
      <c r="E249" s="1079"/>
      <c r="F249" s="1079"/>
      <c r="G249" s="1079"/>
      <c r="H249" s="1079"/>
      <c r="I249" s="1079"/>
    </row>
    <row r="250" spans="1:9" x14ac:dyDescent="0.25">
      <c r="A250" s="1079"/>
      <c r="B250" s="1079"/>
      <c r="C250" s="1079"/>
      <c r="D250" s="1079"/>
      <c r="E250" s="1079"/>
      <c r="F250" s="1079"/>
      <c r="G250" s="1079"/>
      <c r="H250" s="1079"/>
      <c r="I250" s="1079"/>
    </row>
    <row r="251" spans="1:9" x14ac:dyDescent="0.25">
      <c r="A251" s="1079"/>
      <c r="B251" s="1079"/>
      <c r="C251" s="1079"/>
      <c r="D251" s="1079"/>
      <c r="E251" s="1079"/>
      <c r="F251" s="1079"/>
      <c r="G251" s="1079"/>
      <c r="H251" s="1079"/>
      <c r="I251" s="1079"/>
    </row>
    <row r="252" spans="1:9" x14ac:dyDescent="0.25">
      <c r="A252" s="1079"/>
      <c r="B252" s="1079"/>
      <c r="C252" s="1079"/>
      <c r="D252" s="1079"/>
      <c r="E252" s="1079"/>
      <c r="F252" s="1079"/>
      <c r="G252" s="1079"/>
      <c r="H252" s="1079"/>
      <c r="I252" s="1079"/>
    </row>
    <row r="253" spans="1:9" x14ac:dyDescent="0.25">
      <c r="A253" s="1079"/>
      <c r="B253" s="1079"/>
      <c r="C253" s="1079"/>
      <c r="D253" s="1079"/>
      <c r="E253" s="1079"/>
      <c r="F253" s="1079"/>
      <c r="G253" s="1079"/>
      <c r="H253" s="1079"/>
      <c r="I253" s="1079"/>
    </row>
    <row r="254" spans="1:9" x14ac:dyDescent="0.25">
      <c r="A254" s="1079"/>
      <c r="B254" s="1079"/>
      <c r="C254" s="1079"/>
      <c r="D254" s="1079"/>
      <c r="E254" s="1079"/>
      <c r="F254" s="1079"/>
      <c r="G254" s="1079"/>
      <c r="H254" s="1079"/>
      <c r="I254" s="1079"/>
    </row>
    <row r="255" spans="1:9" x14ac:dyDescent="0.25">
      <c r="A255" s="1079"/>
      <c r="B255" s="1079"/>
      <c r="C255" s="1079"/>
      <c r="D255" s="1079"/>
      <c r="E255" s="1079"/>
      <c r="F255" s="1079"/>
      <c r="G255" s="1079"/>
      <c r="H255" s="1079"/>
      <c r="I255" s="1079"/>
    </row>
    <row r="256" spans="1:9" x14ac:dyDescent="0.25">
      <c r="A256" s="1079"/>
      <c r="B256" s="1079"/>
      <c r="C256" s="1079"/>
      <c r="D256" s="1079"/>
      <c r="E256" s="1079"/>
      <c r="F256" s="1079"/>
      <c r="G256" s="1079"/>
      <c r="H256" s="1079"/>
      <c r="I256" s="1079"/>
    </row>
    <row r="257" spans="1:9" x14ac:dyDescent="0.25">
      <c r="A257" s="1079"/>
      <c r="B257" s="1079"/>
      <c r="C257" s="1079"/>
      <c r="D257" s="1079"/>
      <c r="E257" s="1079"/>
      <c r="F257" s="1079"/>
      <c r="G257" s="1079"/>
      <c r="H257" s="1079"/>
      <c r="I257" s="1079"/>
    </row>
    <row r="258" spans="1:9" x14ac:dyDescent="0.25">
      <c r="A258" s="1079"/>
      <c r="B258" s="1079"/>
      <c r="C258" s="1079"/>
      <c r="D258" s="1079"/>
      <c r="E258" s="1079"/>
      <c r="F258" s="1079"/>
      <c r="G258" s="1079"/>
      <c r="H258" s="1079"/>
      <c r="I258" s="1079"/>
    </row>
    <row r="259" spans="1:9" x14ac:dyDescent="0.25">
      <c r="A259" s="1079"/>
      <c r="B259" s="1079"/>
      <c r="C259" s="1079"/>
      <c r="D259" s="1079"/>
      <c r="E259" s="1079"/>
      <c r="F259" s="1079"/>
      <c r="G259" s="1079"/>
      <c r="H259" s="1079"/>
      <c r="I259" s="1079"/>
    </row>
    <row r="260" spans="1:9" x14ac:dyDescent="0.25">
      <c r="A260" s="1079"/>
      <c r="B260" s="1079"/>
      <c r="C260" s="1079"/>
      <c r="D260" s="1079"/>
      <c r="E260" s="1079"/>
      <c r="F260" s="1079"/>
      <c r="G260" s="1079"/>
      <c r="H260" s="1079"/>
      <c r="I260" s="1079"/>
    </row>
    <row r="261" spans="1:9" x14ac:dyDescent="0.25">
      <c r="A261" s="1079"/>
      <c r="B261" s="1079"/>
      <c r="C261" s="1079"/>
      <c r="D261" s="1079"/>
      <c r="E261" s="1079"/>
      <c r="F261" s="1079"/>
      <c r="G261" s="1079"/>
      <c r="H261" s="1079"/>
      <c r="I261" s="1079"/>
    </row>
    <row r="262" spans="1:9" x14ac:dyDescent="0.25">
      <c r="A262" s="1079"/>
      <c r="B262" s="1079"/>
      <c r="C262" s="1079"/>
      <c r="D262" s="1079"/>
      <c r="E262" s="1079"/>
      <c r="F262" s="1079"/>
      <c r="G262" s="1079"/>
      <c r="H262" s="1079"/>
      <c r="I262" s="1079"/>
    </row>
    <row r="263" spans="1:9" x14ac:dyDescent="0.25">
      <c r="A263" s="1079"/>
      <c r="B263" s="1079"/>
      <c r="C263" s="1079"/>
      <c r="D263" s="1079"/>
      <c r="E263" s="1079"/>
      <c r="F263" s="1079"/>
      <c r="G263" s="1079"/>
      <c r="H263" s="1079"/>
      <c r="I263" s="1079"/>
    </row>
    <row r="264" spans="1:9" x14ac:dyDescent="0.25">
      <c r="A264" s="1079"/>
      <c r="B264" s="1079"/>
      <c r="C264" s="1079"/>
      <c r="D264" s="1079"/>
      <c r="E264" s="1079"/>
      <c r="F264" s="1079"/>
      <c r="G264" s="1079"/>
      <c r="H264" s="1079"/>
      <c r="I264" s="1079"/>
    </row>
    <row r="265" spans="1:9" x14ac:dyDescent="0.25">
      <c r="A265" s="1079"/>
      <c r="B265" s="1079"/>
      <c r="C265" s="1079"/>
      <c r="D265" s="1079"/>
      <c r="E265" s="1079"/>
      <c r="F265" s="1079"/>
      <c r="G265" s="1079"/>
      <c r="H265" s="1079"/>
      <c r="I265" s="1079"/>
    </row>
    <row r="266" spans="1:9" x14ac:dyDescent="0.25">
      <c r="A266" s="1079"/>
      <c r="B266" s="1079"/>
      <c r="C266" s="1079"/>
      <c r="D266" s="1079"/>
      <c r="E266" s="1079"/>
      <c r="F266" s="1079"/>
      <c r="G266" s="1079"/>
      <c r="H266" s="1079"/>
      <c r="I266" s="1079"/>
    </row>
    <row r="267" spans="1:9" x14ac:dyDescent="0.25">
      <c r="A267" s="1079"/>
      <c r="B267" s="1079"/>
      <c r="C267" s="1079"/>
      <c r="D267" s="1079"/>
      <c r="E267" s="1079"/>
      <c r="F267" s="1079"/>
      <c r="G267" s="1079"/>
      <c r="H267" s="1079"/>
      <c r="I267" s="1079"/>
    </row>
    <row r="268" spans="1:9" x14ac:dyDescent="0.25">
      <c r="A268" s="1079"/>
      <c r="B268" s="1079"/>
      <c r="C268" s="1079"/>
      <c r="D268" s="1079"/>
      <c r="E268" s="1079"/>
      <c r="F268" s="1079"/>
      <c r="G268" s="1079"/>
      <c r="H268" s="1079"/>
      <c r="I268" s="1079"/>
    </row>
    <row r="269" spans="1:9" x14ac:dyDescent="0.25">
      <c r="A269" s="1079"/>
      <c r="B269" s="1079"/>
      <c r="C269" s="1079"/>
      <c r="D269" s="1079"/>
      <c r="E269" s="1079"/>
      <c r="F269" s="1079"/>
      <c r="G269" s="1079"/>
      <c r="H269" s="1079"/>
      <c r="I269" s="1079"/>
    </row>
    <row r="270" spans="1:9" x14ac:dyDescent="0.25">
      <c r="A270" s="1079"/>
      <c r="B270" s="1079"/>
      <c r="C270" s="1079"/>
      <c r="D270" s="1079"/>
      <c r="E270" s="1079"/>
      <c r="F270" s="1079"/>
      <c r="G270" s="1079"/>
      <c r="H270" s="1079"/>
      <c r="I270" s="1079"/>
    </row>
    <row r="271" spans="1:9" x14ac:dyDescent="0.25">
      <c r="A271" s="1079"/>
      <c r="B271" s="1079"/>
      <c r="C271" s="1079"/>
      <c r="D271" s="1079"/>
      <c r="E271" s="1079"/>
      <c r="F271" s="1079"/>
      <c r="G271" s="1079"/>
      <c r="H271" s="1079"/>
      <c r="I271" s="1079"/>
    </row>
    <row r="272" spans="1:9" x14ac:dyDescent="0.25">
      <c r="A272" s="1079"/>
      <c r="B272" s="1079"/>
      <c r="C272" s="1079"/>
      <c r="D272" s="1079"/>
      <c r="E272" s="1079"/>
      <c r="F272" s="1079"/>
      <c r="G272" s="1079"/>
      <c r="H272" s="1079"/>
      <c r="I272" s="1079"/>
    </row>
    <row r="273" spans="1:9" x14ac:dyDescent="0.25">
      <c r="A273" s="1079"/>
      <c r="B273" s="1079"/>
      <c r="C273" s="1079"/>
      <c r="D273" s="1079"/>
      <c r="E273" s="1079"/>
      <c r="F273" s="1079"/>
      <c r="G273" s="1079"/>
      <c r="H273" s="1079"/>
      <c r="I273" s="1079"/>
    </row>
    <row r="274" spans="1:9" x14ac:dyDescent="0.25">
      <c r="A274" s="1079"/>
      <c r="B274" s="1079"/>
      <c r="C274" s="1079"/>
      <c r="D274" s="1079"/>
      <c r="E274" s="1079"/>
      <c r="F274" s="1079"/>
      <c r="G274" s="1079"/>
      <c r="H274" s="1079"/>
      <c r="I274" s="1079"/>
    </row>
    <row r="275" spans="1:9" x14ac:dyDescent="0.25">
      <c r="A275" s="1079"/>
      <c r="B275" s="1079"/>
      <c r="C275" s="1079"/>
      <c r="D275" s="1079"/>
      <c r="E275" s="1079"/>
      <c r="F275" s="1079"/>
      <c r="G275" s="1079"/>
      <c r="H275" s="1079"/>
      <c r="I275" s="1079"/>
    </row>
    <row r="276" spans="1:9" x14ac:dyDescent="0.25">
      <c r="A276" s="1079"/>
      <c r="B276" s="1079"/>
      <c r="C276" s="1079"/>
      <c r="D276" s="1079"/>
      <c r="E276" s="1079"/>
      <c r="F276" s="1079"/>
      <c r="G276" s="1079"/>
      <c r="H276" s="1079"/>
      <c r="I276" s="1079"/>
    </row>
    <row r="277" spans="1:9" x14ac:dyDescent="0.25">
      <c r="A277" s="1079"/>
      <c r="B277" s="1079"/>
      <c r="C277" s="1079"/>
      <c r="D277" s="1079"/>
      <c r="E277" s="1079"/>
      <c r="F277" s="1079"/>
      <c r="G277" s="1079"/>
      <c r="H277" s="1079"/>
      <c r="I277" s="1079"/>
    </row>
    <row r="278" spans="1:9" x14ac:dyDescent="0.25">
      <c r="A278" s="1079"/>
      <c r="B278" s="1079"/>
      <c r="C278" s="1079"/>
      <c r="D278" s="1079"/>
      <c r="E278" s="1079"/>
      <c r="F278" s="1079"/>
      <c r="G278" s="1079"/>
      <c r="H278" s="1079"/>
      <c r="I278" s="1079"/>
    </row>
    <row r="279" spans="1:9" x14ac:dyDescent="0.25">
      <c r="A279" s="1079"/>
      <c r="B279" s="1079"/>
      <c r="C279" s="1079"/>
      <c r="D279" s="1079"/>
      <c r="E279" s="1079"/>
      <c r="F279" s="1079"/>
      <c r="G279" s="1079"/>
      <c r="H279" s="1079"/>
      <c r="I279" s="1079"/>
    </row>
  </sheetData>
  <hyperlinks>
    <hyperlink ref="B4" location="SU_A1200" display="SU_A1200" xr:uid="{00000000-0004-0000-8300-000000000000}"/>
    <hyperlink ref="F2" location="SU_A1200_BOM" display="Back to BOM" xr:uid="{00000000-0004-0000-83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0-000000000000}">
  <sheetPr>
    <tabColor rgb="FFFFFF66"/>
    <pageSetUpPr fitToPage="1"/>
  </sheetPr>
  <dimension ref="A1:O21"/>
  <sheetViews>
    <sheetView zoomScale="70" zoomScaleNormal="70" zoomScalePageLayoutView="70" workbookViewId="0">
      <selection activeCell="G33" sqref="G33"/>
    </sheetView>
  </sheetViews>
  <sheetFormatPr baseColWidth="10" defaultRowHeight="15" x14ac:dyDescent="0.25"/>
  <cols>
    <col min="2" max="2" width="38.42578125" customWidth="1"/>
    <col min="3" max="3" width="30.7109375" customWidth="1"/>
    <col min="7" max="7" width="35" customWidth="1"/>
    <col min="9" max="9" width="24.42578125" customWidth="1"/>
    <col min="10" max="10" width="13.42578125" customWidth="1"/>
  </cols>
  <sheetData>
    <row r="1" spans="1:15" x14ac:dyDescent="0.25">
      <c r="A1" s="921"/>
      <c r="B1" s="919"/>
      <c r="C1" s="919"/>
      <c r="D1" s="919"/>
      <c r="E1" s="919"/>
      <c r="F1" s="919"/>
      <c r="G1" s="919"/>
      <c r="H1" s="919"/>
      <c r="I1" s="919"/>
      <c r="J1" s="920"/>
      <c r="K1" s="919"/>
      <c r="L1" s="919"/>
      <c r="M1" s="919"/>
      <c r="N1" s="919"/>
      <c r="O1" s="918"/>
    </row>
    <row r="2" spans="1:15" x14ac:dyDescent="0.25">
      <c r="A2" s="1048" t="s">
        <v>0</v>
      </c>
      <c r="B2" s="16" t="s">
        <v>37</v>
      </c>
      <c r="C2" s="1049"/>
      <c r="D2" s="1049"/>
      <c r="E2" s="1049"/>
      <c r="F2" s="87" t="s">
        <v>62</v>
      </c>
      <c r="G2" s="1049"/>
      <c r="H2" s="1049"/>
      <c r="I2" s="1049"/>
      <c r="J2" s="1050" t="s">
        <v>1</v>
      </c>
      <c r="K2" s="1051">
        <v>81</v>
      </c>
      <c r="L2" s="1049"/>
      <c r="M2" s="1052" t="s">
        <v>16</v>
      </c>
      <c r="N2" s="1053">
        <f>SU_12002_m+SU_12002_p</f>
        <v>1.5833945082514056</v>
      </c>
      <c r="O2" s="259"/>
    </row>
    <row r="3" spans="1:15" x14ac:dyDescent="0.25">
      <c r="A3" s="1054" t="s">
        <v>3</v>
      </c>
      <c r="B3" s="16" t="s">
        <v>63</v>
      </c>
      <c r="C3" s="1049"/>
      <c r="D3" s="1052" t="s">
        <v>6</v>
      </c>
      <c r="E3" s="87"/>
      <c r="F3" s="1049"/>
      <c r="G3" s="1049"/>
      <c r="H3" s="1049"/>
      <c r="I3" s="1049"/>
      <c r="J3" s="1049"/>
      <c r="K3" s="1049"/>
      <c r="L3" s="1049"/>
      <c r="M3" s="1055" t="s">
        <v>4</v>
      </c>
      <c r="N3" s="1056">
        <v>2</v>
      </c>
      <c r="O3" s="259"/>
    </row>
    <row r="4" spans="1:15" x14ac:dyDescent="0.25">
      <c r="A4" s="1054" t="s">
        <v>5</v>
      </c>
      <c r="B4" s="87" t="str">
        <f>'SU A1200'!B4</f>
        <v>Front Pullrod</v>
      </c>
      <c r="C4" s="1049"/>
      <c r="D4" s="1055" t="s">
        <v>8</v>
      </c>
      <c r="E4" s="1049"/>
      <c r="F4" s="1049"/>
      <c r="G4" s="1049"/>
      <c r="H4" s="1049"/>
      <c r="I4" s="1049"/>
      <c r="J4" s="1052" t="s">
        <v>6</v>
      </c>
      <c r="K4" s="1049"/>
      <c r="L4" s="1049"/>
      <c r="M4" s="1049"/>
      <c r="N4" s="1049"/>
      <c r="O4" s="259"/>
    </row>
    <row r="5" spans="1:15" x14ac:dyDescent="0.25">
      <c r="A5" s="1054" t="s">
        <v>15</v>
      </c>
      <c r="B5" s="730" t="s">
        <v>401</v>
      </c>
      <c r="C5" s="1049"/>
      <c r="D5" s="1055" t="s">
        <v>12</v>
      </c>
      <c r="E5" s="1049"/>
      <c r="F5" s="1049"/>
      <c r="G5" s="1049"/>
      <c r="H5" s="1049"/>
      <c r="I5" s="1049"/>
      <c r="J5" s="1055" t="s">
        <v>8</v>
      </c>
      <c r="K5" s="1049"/>
      <c r="L5" s="1049"/>
      <c r="M5" s="1052" t="s">
        <v>9</v>
      </c>
      <c r="N5" s="1053">
        <f>N2*SU_12002_q</f>
        <v>3.1667890165028112</v>
      </c>
      <c r="O5" s="259"/>
    </row>
    <row r="6" spans="1:15" x14ac:dyDescent="0.25">
      <c r="A6" s="1054" t="s">
        <v>7</v>
      </c>
      <c r="B6" t="s">
        <v>522</v>
      </c>
      <c r="C6" s="1049"/>
      <c r="D6" s="1049"/>
      <c r="E6" s="1049"/>
      <c r="F6" s="1049"/>
      <c r="G6" s="1049"/>
      <c r="H6" s="1049"/>
      <c r="I6" s="1049"/>
      <c r="J6" s="1055" t="s">
        <v>12</v>
      </c>
      <c r="K6" s="1049"/>
      <c r="L6" s="1049"/>
      <c r="M6" s="1049"/>
      <c r="N6" s="1049"/>
      <c r="O6" s="259"/>
    </row>
    <row r="7" spans="1:15" x14ac:dyDescent="0.25">
      <c r="A7" s="1054" t="s">
        <v>10</v>
      </c>
      <c r="B7" s="16" t="s">
        <v>11</v>
      </c>
      <c r="C7" s="1049"/>
      <c r="D7" s="1049"/>
      <c r="E7" s="1049"/>
      <c r="F7" s="1049"/>
      <c r="G7" s="1049"/>
      <c r="H7" s="1049"/>
      <c r="I7" s="1049"/>
      <c r="J7" s="1049"/>
      <c r="K7" s="1049"/>
      <c r="L7" s="1049"/>
      <c r="M7" s="1049"/>
      <c r="N7" s="1049"/>
      <c r="O7" s="259"/>
    </row>
    <row r="8" spans="1:15" x14ac:dyDescent="0.25">
      <c r="A8" s="1054" t="s">
        <v>13</v>
      </c>
      <c r="B8" s="16"/>
      <c r="C8" s="1049"/>
      <c r="D8" s="1049"/>
      <c r="E8" s="1049"/>
      <c r="F8" s="1049"/>
      <c r="G8" s="1049"/>
      <c r="H8" s="1049"/>
      <c r="I8" s="1049"/>
      <c r="J8" s="1049"/>
      <c r="K8" s="1049"/>
      <c r="L8" s="1049"/>
      <c r="M8" s="1049"/>
      <c r="N8" s="1049"/>
      <c r="O8" s="259"/>
    </row>
    <row r="9" spans="1:15" x14ac:dyDescent="0.25">
      <c r="A9" s="1057"/>
      <c r="B9" s="1049"/>
      <c r="C9" s="1049"/>
      <c r="D9" s="1049"/>
      <c r="E9" s="1049"/>
      <c r="F9" s="1049"/>
      <c r="G9" s="1049"/>
      <c r="H9" s="1049"/>
      <c r="I9" s="1049"/>
      <c r="J9" s="1049"/>
      <c r="K9" s="1049"/>
      <c r="L9" s="1049"/>
      <c r="M9" s="1049"/>
      <c r="N9" s="1049"/>
      <c r="O9" s="259"/>
    </row>
    <row r="10" spans="1:15" x14ac:dyDescent="0.25">
      <c r="A10" s="1058" t="s">
        <v>14</v>
      </c>
      <c r="B10" s="1059" t="s">
        <v>19</v>
      </c>
      <c r="C10" s="1059" t="s">
        <v>20</v>
      </c>
      <c r="D10" s="1059" t="s">
        <v>21</v>
      </c>
      <c r="E10" s="1059" t="s">
        <v>22</v>
      </c>
      <c r="F10" s="1059" t="s">
        <v>23</v>
      </c>
      <c r="G10" s="1059" t="s">
        <v>24</v>
      </c>
      <c r="H10" s="1059" t="s">
        <v>25</v>
      </c>
      <c r="I10" s="1059" t="s">
        <v>26</v>
      </c>
      <c r="J10" s="1059" t="s">
        <v>27</v>
      </c>
      <c r="K10" s="1059" t="s">
        <v>28</v>
      </c>
      <c r="L10" s="1059" t="s">
        <v>29</v>
      </c>
      <c r="M10" s="1059" t="s">
        <v>17</v>
      </c>
      <c r="N10" s="1059" t="s">
        <v>18</v>
      </c>
      <c r="O10" s="259"/>
    </row>
    <row r="11" spans="1:15" ht="16.149999999999999" customHeight="1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1163">
        <f>J11*K11*L11</f>
        <v>6.9915359107477454E-2</v>
      </c>
      <c r="F11" s="383" t="s">
        <v>141</v>
      </c>
      <c r="G11" s="383"/>
      <c r="H11" s="387"/>
      <c r="I11" s="388" t="s">
        <v>548</v>
      </c>
      <c r="J11" s="1085">
        <f>PI()*9*9/1000000</f>
        <v>2.5446900494077322E-4</v>
      </c>
      <c r="K11" s="1086">
        <v>3.5000000000000003E-2</v>
      </c>
      <c r="L11" s="1084">
        <v>7850</v>
      </c>
      <c r="M11" s="1087">
        <v>1</v>
      </c>
      <c r="N11" s="1088">
        <f>D11*E11*M11</f>
        <v>0.29364450825140531</v>
      </c>
      <c r="O11" s="908"/>
    </row>
    <row r="12" spans="1:15" x14ac:dyDescent="0.25">
      <c r="A12" s="1069"/>
      <c r="B12" s="1070"/>
      <c r="C12" s="1070"/>
      <c r="D12" s="1070"/>
      <c r="E12" s="1070"/>
      <c r="F12" s="1070"/>
      <c r="G12" s="1070"/>
      <c r="H12" s="1070"/>
      <c r="I12" s="1070"/>
      <c r="J12" s="1070"/>
      <c r="K12" s="1070"/>
      <c r="L12" s="1070"/>
      <c r="M12" s="1071" t="s">
        <v>18</v>
      </c>
      <c r="N12" s="1072">
        <f>N11</f>
        <v>0.29364450825140531</v>
      </c>
      <c r="O12" s="259"/>
    </row>
    <row r="13" spans="1:15" x14ac:dyDescent="0.25">
      <c r="A13" s="1058" t="s">
        <v>14</v>
      </c>
      <c r="B13" s="1059" t="s">
        <v>31</v>
      </c>
      <c r="C13" s="1059" t="s">
        <v>20</v>
      </c>
      <c r="D13" s="1059" t="s">
        <v>21</v>
      </c>
      <c r="E13" s="1059" t="s">
        <v>32</v>
      </c>
      <c r="F13" s="1059" t="s">
        <v>17</v>
      </c>
      <c r="G13" s="1059" t="s">
        <v>33</v>
      </c>
      <c r="H13" s="1059" t="s">
        <v>34</v>
      </c>
      <c r="I13" s="1059" t="s">
        <v>18</v>
      </c>
      <c r="J13" s="1070"/>
      <c r="K13" s="1070"/>
      <c r="L13" s="1070"/>
      <c r="M13" s="1070"/>
      <c r="N13" s="1070"/>
      <c r="O13" s="259"/>
    </row>
    <row r="14" spans="1:15" ht="28.15" customHeight="1" x14ac:dyDescent="0.25">
      <c r="A14" s="1089">
        <v>10</v>
      </c>
      <c r="B14" s="1090" t="s">
        <v>39</v>
      </c>
      <c r="C14" s="1091" t="s">
        <v>414</v>
      </c>
      <c r="D14" s="1082">
        <v>1.3</v>
      </c>
      <c r="E14" s="1090" t="s">
        <v>32</v>
      </c>
      <c r="F14" s="1092">
        <v>1</v>
      </c>
      <c r="G14" s="1168" t="s">
        <v>554</v>
      </c>
      <c r="H14" s="1167">
        <f>1/8</f>
        <v>0.125</v>
      </c>
      <c r="I14" s="1093">
        <f>D14*F14*H14</f>
        <v>0.16250000000000001</v>
      </c>
      <c r="J14" s="512"/>
      <c r="K14" s="512"/>
      <c r="L14" s="512"/>
      <c r="M14" s="512"/>
      <c r="N14" s="512"/>
      <c r="O14" s="896"/>
    </row>
    <row r="15" spans="1:15" ht="13.15" customHeight="1" x14ac:dyDescent="0.25">
      <c r="A15" s="1089">
        <v>20</v>
      </c>
      <c r="B15" s="1090" t="s">
        <v>92</v>
      </c>
      <c r="C15" s="1091" t="s">
        <v>413</v>
      </c>
      <c r="D15" s="1082">
        <v>0.04</v>
      </c>
      <c r="E15" s="1090" t="s">
        <v>93</v>
      </c>
      <c r="F15" s="1092">
        <v>5.5</v>
      </c>
      <c r="G15" s="1092" t="s">
        <v>339</v>
      </c>
      <c r="H15" s="1092">
        <v>3</v>
      </c>
      <c r="I15" s="1093">
        <f t="shared" ref="I15:I18" si="0">D15*F15*H15</f>
        <v>0.66</v>
      </c>
      <c r="J15" s="512"/>
      <c r="K15" s="512"/>
      <c r="L15" s="512"/>
      <c r="M15" s="512"/>
      <c r="N15" s="512"/>
      <c r="O15" s="896"/>
    </row>
    <row r="16" spans="1:15" ht="30" customHeight="1" x14ac:dyDescent="0.25">
      <c r="A16" s="1081">
        <v>30</v>
      </c>
      <c r="B16" s="1083" t="s">
        <v>412</v>
      </c>
      <c r="C16" s="1094" t="s">
        <v>411</v>
      </c>
      <c r="D16" s="1082">
        <v>0.65</v>
      </c>
      <c r="E16" s="1083" t="s">
        <v>32</v>
      </c>
      <c r="F16" s="1095">
        <v>1</v>
      </c>
      <c r="G16" s="1168" t="s">
        <v>554</v>
      </c>
      <c r="H16" s="1167">
        <f>1/8</f>
        <v>0.125</v>
      </c>
      <c r="I16" s="1093">
        <f t="shared" si="0"/>
        <v>8.1250000000000003E-2</v>
      </c>
      <c r="J16" s="505"/>
      <c r="K16" s="505"/>
      <c r="L16" s="505"/>
      <c r="M16" s="505"/>
      <c r="N16" s="505"/>
      <c r="O16" s="905"/>
    </row>
    <row r="17" spans="1:15" ht="16.899999999999999" customHeight="1" x14ac:dyDescent="0.25">
      <c r="A17" s="1089">
        <v>40</v>
      </c>
      <c r="B17" s="1090" t="s">
        <v>92</v>
      </c>
      <c r="C17" s="1091" t="s">
        <v>196</v>
      </c>
      <c r="D17" s="1082">
        <v>0.04</v>
      </c>
      <c r="E17" s="1090" t="s">
        <v>93</v>
      </c>
      <c r="F17" s="1092">
        <v>0.3</v>
      </c>
      <c r="G17" s="1092" t="s">
        <v>339</v>
      </c>
      <c r="H17" s="1092">
        <v>3</v>
      </c>
      <c r="I17" s="1093">
        <f t="shared" si="0"/>
        <v>3.6000000000000004E-2</v>
      </c>
      <c r="J17" s="508"/>
      <c r="K17" s="508"/>
      <c r="L17" s="508"/>
      <c r="M17" s="508"/>
      <c r="N17" s="508"/>
      <c r="O17" s="896"/>
    </row>
    <row r="18" spans="1:15" ht="15" customHeight="1" x14ac:dyDescent="0.25">
      <c r="A18" s="1089">
        <v>50</v>
      </c>
      <c r="B18" s="1094" t="s">
        <v>410</v>
      </c>
      <c r="C18" s="1094" t="s">
        <v>409</v>
      </c>
      <c r="D18" s="1082">
        <v>0.35</v>
      </c>
      <c r="E18" s="1083" t="s">
        <v>198</v>
      </c>
      <c r="F18" s="1095">
        <v>1</v>
      </c>
      <c r="G18" s="1096"/>
      <c r="H18" s="1092">
        <v>1</v>
      </c>
      <c r="I18" s="1093">
        <f t="shared" si="0"/>
        <v>0.35</v>
      </c>
      <c r="J18" s="510"/>
      <c r="K18" s="510"/>
      <c r="L18" s="510"/>
      <c r="M18" s="510"/>
      <c r="N18" s="510"/>
      <c r="O18" s="900"/>
    </row>
    <row r="19" spans="1:15" x14ac:dyDescent="0.25">
      <c r="A19" s="1069"/>
      <c r="B19" s="1070"/>
      <c r="C19" s="1070"/>
      <c r="D19" s="1070"/>
      <c r="E19" s="1070"/>
      <c r="F19" s="1070"/>
      <c r="G19" s="1070"/>
      <c r="H19" s="1071" t="s">
        <v>18</v>
      </c>
      <c r="I19" s="1074">
        <f>SUM(I14:I18)</f>
        <v>1.2897500000000002</v>
      </c>
      <c r="J19" s="1070"/>
      <c r="K19" s="1070"/>
      <c r="L19" s="1070"/>
      <c r="M19" s="1070"/>
      <c r="N19" s="1070"/>
      <c r="O19" s="259"/>
    </row>
    <row r="20" spans="1:15" x14ac:dyDescent="0.25">
      <c r="A20" s="897"/>
      <c r="B20" s="508"/>
      <c r="C20" s="508"/>
      <c r="D20" s="508"/>
      <c r="E20" s="508"/>
      <c r="F20" s="508"/>
      <c r="G20" s="508"/>
      <c r="H20" s="508"/>
      <c r="I20" s="510"/>
      <c r="J20" s="508"/>
      <c r="K20" s="508"/>
      <c r="L20" s="508"/>
      <c r="M20" s="508"/>
      <c r="N20" s="508"/>
      <c r="O20" s="896"/>
    </row>
    <row r="21" spans="1:15" ht="15.75" thickBot="1" x14ac:dyDescent="0.3">
      <c r="A21" s="895"/>
      <c r="B21" s="894"/>
      <c r="C21" s="894"/>
      <c r="D21" s="894"/>
      <c r="E21" s="894"/>
      <c r="F21" s="894"/>
      <c r="G21" s="894"/>
      <c r="H21" s="894"/>
      <c r="I21" s="894"/>
      <c r="J21" s="894"/>
      <c r="K21" s="894"/>
      <c r="L21" s="894"/>
      <c r="M21" s="894"/>
      <c r="N21" s="894"/>
      <c r="O21" s="893"/>
    </row>
  </sheetData>
  <hyperlinks>
    <hyperlink ref="B4" location="SU_A1200" display="SU_A1200" xr:uid="{00000000-0004-0000-8400-000000000000}"/>
    <hyperlink ref="F2" location="SU_A1200_BOM" display="Back to BOM" xr:uid="{00000000-0004-0000-84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0-000000000000}">
  <sheetPr>
    <tabColor rgb="FFFFFF66"/>
    <pageSetUpPr fitToPage="1"/>
  </sheetPr>
  <dimension ref="A1:B1"/>
  <sheetViews>
    <sheetView zoomScaleNormal="100" zoomScalePageLayoutView="70" workbookViewId="0">
      <selection activeCell="G33" sqref="G33"/>
    </sheetView>
  </sheetViews>
  <sheetFormatPr baseColWidth="10" defaultRowHeight="15" x14ac:dyDescent="0.25"/>
  <sheetData>
    <row r="1" spans="1:2" x14ac:dyDescent="0.25">
      <c r="A1" t="s">
        <v>230</v>
      </c>
      <c r="B1" s="270" t="s">
        <v>523</v>
      </c>
    </row>
  </sheetData>
  <hyperlinks>
    <hyperlink ref="B1" location="SU_12002" display="SU_12002" xr:uid="{00000000-0004-0000-8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0-000000000000}">
  <sheetPr>
    <tabColor rgb="FFFFFF66"/>
    <pageSetUpPr fitToPage="1"/>
  </sheetPr>
  <dimension ref="A1:P40"/>
  <sheetViews>
    <sheetView zoomScale="70" zoomScaleNormal="70" zoomScalePageLayoutView="70" workbookViewId="0">
      <selection activeCell="G23" sqref="G23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15.7109375" customWidth="1"/>
    <col min="5" max="5" width="15.28515625" customWidth="1"/>
    <col min="6" max="6" width="7.85546875" customWidth="1"/>
    <col min="7" max="7" width="39.7109375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25">
      <c r="A3" s="99" t="s">
        <v>3</v>
      </c>
      <c r="B3" s="16" t="str">
        <f>'SU A1200'!B3</f>
        <v>Suspension &amp; Shocks</v>
      </c>
      <c r="C3" s="56"/>
      <c r="D3" s="99" t="s">
        <v>6</v>
      </c>
      <c r="E3" s="270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25">
      <c r="A6" s="99" t="s">
        <v>7</v>
      </c>
      <c r="B6" t="s">
        <v>524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97" t="s">
        <v>23</v>
      </c>
      <c r="G10" s="1097" t="s">
        <v>24</v>
      </c>
      <c r="H10" s="1097" t="s">
        <v>25</v>
      </c>
      <c r="I10" s="1097" t="s">
        <v>26</v>
      </c>
      <c r="J10" s="1097" t="s">
        <v>27</v>
      </c>
      <c r="K10" s="1097" t="s">
        <v>28</v>
      </c>
      <c r="L10" s="1097" t="s">
        <v>29</v>
      </c>
      <c r="M10" s="1097" t="s">
        <v>17</v>
      </c>
      <c r="N10" s="1097" t="s">
        <v>18</v>
      </c>
      <c r="O10" s="62"/>
    </row>
    <row r="11" spans="1:16" x14ac:dyDescent="0.25">
      <c r="A11" s="1098">
        <v>10</v>
      </c>
      <c r="B11" s="1099" t="s">
        <v>301</v>
      </c>
      <c r="C11" s="1100" t="s">
        <v>416</v>
      </c>
      <c r="D11" s="1101">
        <v>2.25</v>
      </c>
      <c r="E11" s="1102">
        <f>L11*J11*K11</f>
        <v>7.8916807458175604E-3</v>
      </c>
      <c r="F11" s="1100" t="s">
        <v>141</v>
      </c>
      <c r="G11" s="1100"/>
      <c r="H11" s="1103"/>
      <c r="I11" s="910" t="s">
        <v>415</v>
      </c>
      <c r="J11" s="1085">
        <f>PI()*8*8/1000000</f>
        <v>2.0106192982974677E-4</v>
      </c>
      <c r="K11" s="1104">
        <v>5.0000000000000001E-3</v>
      </c>
      <c r="L11" s="1105">
        <v>7850</v>
      </c>
      <c r="M11" s="1106">
        <v>1</v>
      </c>
      <c r="N11" s="1101">
        <f>IF(J11="",D11*M11,D11*J11*K11*L11*M11)</f>
        <v>1.7756281678089514E-2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07" t="s">
        <v>18</v>
      </c>
      <c r="N12" s="106">
        <f>SUM(N11:N11)</f>
        <v>1.7756281678089514E-2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108" t="s">
        <v>14</v>
      </c>
      <c r="B14" s="1097" t="s">
        <v>31</v>
      </c>
      <c r="C14" s="1097" t="s">
        <v>20</v>
      </c>
      <c r="D14" s="1097" t="s">
        <v>21</v>
      </c>
      <c r="E14" s="1097" t="s">
        <v>32</v>
      </c>
      <c r="F14" s="1097" t="s">
        <v>17</v>
      </c>
      <c r="G14" s="1097" t="s">
        <v>33</v>
      </c>
      <c r="H14" s="1097" t="s">
        <v>34</v>
      </c>
      <c r="I14" s="1097" t="s">
        <v>18</v>
      </c>
      <c r="J14" s="24"/>
      <c r="K14" s="24"/>
      <c r="L14" s="24"/>
      <c r="M14" s="24"/>
      <c r="N14" s="24"/>
      <c r="O14" s="62"/>
    </row>
    <row r="15" spans="1:16" x14ac:dyDescent="0.25">
      <c r="A15" s="1109">
        <v>10</v>
      </c>
      <c r="B15" s="1064" t="s">
        <v>344</v>
      </c>
      <c r="C15" s="1064"/>
      <c r="D15" s="1062">
        <v>1.3</v>
      </c>
      <c r="E15" s="1064" t="s">
        <v>35</v>
      </c>
      <c r="F15" s="1064">
        <v>1</v>
      </c>
      <c r="G15" s="1064" t="s">
        <v>525</v>
      </c>
      <c r="H15" s="1064">
        <f>1/8</f>
        <v>0.125</v>
      </c>
      <c r="I15" s="1062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09">
        <v>20</v>
      </c>
      <c r="B16" s="1064" t="s">
        <v>92</v>
      </c>
      <c r="C16" s="1064"/>
      <c r="D16" s="1062">
        <v>0.04</v>
      </c>
      <c r="E16" s="1064" t="s">
        <v>93</v>
      </c>
      <c r="F16" s="1064">
        <v>1.4</v>
      </c>
      <c r="G16" s="1064" t="s">
        <v>339</v>
      </c>
      <c r="H16" s="1064">
        <v>3</v>
      </c>
      <c r="I16" s="1062">
        <f>D16*F16*H16</f>
        <v>0.16799999999999998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0.33050000000000002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3"/>
      <c r="B22" s="923"/>
      <c r="C22" s="923"/>
      <c r="D22" s="923"/>
      <c r="E22" s="923"/>
      <c r="F22" s="923"/>
      <c r="G22" s="923"/>
      <c r="H22" s="923"/>
      <c r="I22" s="923"/>
      <c r="J22" s="923"/>
      <c r="K22" s="923"/>
      <c r="L22" s="923"/>
      <c r="M22" s="923"/>
      <c r="N22" s="923"/>
      <c r="O22" s="923"/>
      <c r="P22" s="923"/>
    </row>
    <row r="23" spans="1:16" x14ac:dyDescent="0.25">
      <c r="A23" s="923"/>
      <c r="B23" s="928"/>
      <c r="C23" s="924"/>
      <c r="D23" s="924"/>
      <c r="E23" s="924"/>
      <c r="F23" s="924"/>
      <c r="G23" s="944"/>
      <c r="H23" s="924"/>
      <c r="I23" s="924"/>
      <c r="J23" s="924"/>
      <c r="K23" s="947"/>
      <c r="L23" s="927"/>
      <c r="M23" s="924"/>
      <c r="N23" s="928"/>
      <c r="O23" s="935"/>
      <c r="P23" s="923"/>
    </row>
    <row r="24" spans="1:16" x14ac:dyDescent="0.25">
      <c r="A24" s="923"/>
      <c r="B24" s="928"/>
      <c r="C24" s="924"/>
      <c r="D24" s="1110"/>
      <c r="E24" s="944"/>
      <c r="F24" s="924"/>
      <c r="G24" s="924"/>
      <c r="H24" s="924"/>
      <c r="I24" s="924"/>
      <c r="J24" s="924"/>
      <c r="K24" s="924"/>
      <c r="L24" s="924"/>
      <c r="M24" s="924"/>
      <c r="N24" s="928"/>
      <c r="O24" s="945"/>
      <c r="P24" s="923"/>
    </row>
    <row r="25" spans="1:16" x14ac:dyDescent="0.25">
      <c r="A25" s="923"/>
      <c r="B25" s="928"/>
      <c r="C25" s="944"/>
      <c r="D25" s="924"/>
      <c r="E25" s="928"/>
      <c r="F25" s="924"/>
      <c r="G25" s="924"/>
      <c r="H25" s="924"/>
      <c r="I25" s="924"/>
      <c r="J25" s="924"/>
      <c r="K25" s="928"/>
      <c r="L25" s="924"/>
      <c r="M25" s="924"/>
      <c r="N25" s="924"/>
      <c r="O25" s="1111"/>
      <c r="P25" s="923"/>
    </row>
    <row r="26" spans="1:16" x14ac:dyDescent="0.25">
      <c r="A26" s="923"/>
      <c r="B26" s="928"/>
      <c r="C26" s="943"/>
      <c r="D26" s="924"/>
      <c r="E26" s="928"/>
      <c r="F26" s="924"/>
      <c r="G26" s="924"/>
      <c r="H26" s="924"/>
      <c r="I26" s="924"/>
      <c r="J26" s="924"/>
      <c r="K26" s="928"/>
      <c r="L26" s="924"/>
      <c r="M26" s="924"/>
      <c r="N26" s="928"/>
      <c r="O26" s="935"/>
      <c r="P26" s="923"/>
    </row>
    <row r="27" spans="1:16" x14ac:dyDescent="0.25">
      <c r="A27" s="923"/>
      <c r="B27" s="928"/>
      <c r="C27" s="942"/>
      <c r="D27" s="924"/>
      <c r="E27" s="924"/>
      <c r="F27" s="924"/>
      <c r="G27" s="924"/>
      <c r="H27" s="924"/>
      <c r="I27" s="924"/>
      <c r="J27" s="924"/>
      <c r="K27" s="928"/>
      <c r="L27" s="924"/>
      <c r="M27" s="924"/>
      <c r="N27" s="924"/>
      <c r="O27" s="924"/>
      <c r="P27" s="923"/>
    </row>
    <row r="28" spans="1:16" x14ac:dyDescent="0.25">
      <c r="A28" s="923"/>
      <c r="B28" s="928"/>
      <c r="C28" s="924"/>
      <c r="D28" s="924"/>
      <c r="E28" s="924"/>
      <c r="F28" s="924"/>
      <c r="G28" s="924"/>
      <c r="H28" s="924"/>
      <c r="I28" s="924"/>
      <c r="J28" s="924"/>
      <c r="K28" s="924"/>
      <c r="L28" s="924"/>
      <c r="M28" s="924"/>
      <c r="N28" s="924"/>
      <c r="O28" s="924"/>
      <c r="P28" s="923"/>
    </row>
    <row r="29" spans="1:16" x14ac:dyDescent="0.25">
      <c r="A29" s="923"/>
      <c r="B29" s="928"/>
      <c r="C29" s="1111"/>
      <c r="D29" s="1111"/>
      <c r="E29" s="1111"/>
      <c r="F29" s="1111"/>
      <c r="G29" s="1111"/>
      <c r="H29" s="1111"/>
      <c r="I29" s="1111"/>
      <c r="J29" s="1111"/>
      <c r="K29" s="1111"/>
      <c r="L29" s="1111"/>
      <c r="M29" s="1111"/>
      <c r="N29" s="1111"/>
      <c r="O29" s="1111"/>
      <c r="P29" s="923"/>
    </row>
    <row r="30" spans="1:16" x14ac:dyDescent="0.25">
      <c r="A30" s="923"/>
      <c r="B30" s="923"/>
      <c r="C30" s="923"/>
      <c r="D30" s="923"/>
      <c r="E30" s="923"/>
      <c r="F30" s="923"/>
      <c r="G30" s="923"/>
      <c r="H30" s="923"/>
      <c r="I30" s="923"/>
      <c r="J30" s="923"/>
      <c r="K30" s="923"/>
      <c r="L30" s="923"/>
      <c r="M30" s="923"/>
      <c r="N30" s="923"/>
      <c r="O30" s="923"/>
      <c r="P30" s="923"/>
    </row>
    <row r="31" spans="1:16" x14ac:dyDescent="0.25">
      <c r="A31" s="923"/>
      <c r="B31" s="928"/>
      <c r="C31" s="928"/>
      <c r="D31" s="928"/>
      <c r="E31" s="928"/>
      <c r="F31" s="928"/>
      <c r="G31" s="928"/>
      <c r="H31" s="928"/>
      <c r="I31" s="928"/>
      <c r="J31" s="928"/>
      <c r="K31" s="928"/>
      <c r="L31" s="928"/>
      <c r="M31" s="928"/>
      <c r="N31" s="928"/>
      <c r="O31" s="928"/>
      <c r="P31" s="923"/>
    </row>
    <row r="32" spans="1:16" x14ac:dyDescent="0.25">
      <c r="A32" s="923"/>
      <c r="B32" s="924"/>
      <c r="C32" s="924"/>
      <c r="D32" s="924"/>
      <c r="E32" s="931"/>
      <c r="F32" s="941"/>
      <c r="G32" s="924"/>
      <c r="H32" s="924"/>
      <c r="I32" s="940"/>
      <c r="J32" s="939"/>
      <c r="K32" s="938"/>
      <c r="L32" s="937"/>
      <c r="M32" s="936"/>
      <c r="N32" s="936"/>
      <c r="O32" s="935"/>
      <c r="P32" s="923"/>
    </row>
    <row r="33" spans="1:16" x14ac:dyDescent="0.25">
      <c r="A33" s="923"/>
      <c r="B33" s="928"/>
      <c r="C33" s="928"/>
      <c r="D33" s="928"/>
      <c r="E33" s="928"/>
      <c r="F33" s="928"/>
      <c r="G33" s="928"/>
      <c r="H33" s="928"/>
      <c r="I33" s="928"/>
      <c r="J33" s="928"/>
      <c r="K33" s="928"/>
      <c r="L33" s="928"/>
      <c r="M33" s="928"/>
      <c r="N33" s="930"/>
      <c r="O33" s="929"/>
      <c r="P33" s="923"/>
    </row>
    <row r="34" spans="1:16" x14ac:dyDescent="0.25">
      <c r="A34" s="923"/>
      <c r="B34" s="923"/>
      <c r="C34" s="923"/>
      <c r="D34" s="923"/>
      <c r="E34" s="923"/>
      <c r="F34" s="923"/>
      <c r="G34" s="923"/>
      <c r="H34" s="923"/>
      <c r="I34" s="923"/>
      <c r="J34" s="923"/>
      <c r="K34" s="923"/>
      <c r="L34" s="923"/>
      <c r="M34" s="923"/>
      <c r="N34" s="923"/>
      <c r="O34" s="923"/>
      <c r="P34" s="923"/>
    </row>
    <row r="35" spans="1:16" x14ac:dyDescent="0.25">
      <c r="A35" s="923"/>
      <c r="B35" s="928"/>
      <c r="C35" s="928"/>
      <c r="D35" s="928"/>
      <c r="E35" s="928"/>
      <c r="F35" s="928"/>
      <c r="G35" s="928"/>
      <c r="H35" s="928"/>
      <c r="I35" s="928"/>
      <c r="J35" s="928"/>
      <c r="K35" s="928"/>
      <c r="L35" s="928"/>
      <c r="M35" s="928"/>
      <c r="N35" s="928"/>
      <c r="O35" s="928"/>
      <c r="P35" s="923"/>
    </row>
    <row r="36" spans="1:16" x14ac:dyDescent="0.25">
      <c r="A36" s="923"/>
      <c r="B36" s="924"/>
      <c r="C36" s="658"/>
      <c r="D36" s="934"/>
      <c r="E36" s="931"/>
      <c r="F36" s="924"/>
      <c r="G36" s="924"/>
      <c r="H36" s="932"/>
      <c r="I36" s="933"/>
      <c r="J36" s="931"/>
      <c r="K36" s="1111"/>
      <c r="L36" s="1111"/>
      <c r="M36" s="1111"/>
      <c r="N36" s="1111"/>
      <c r="O36" s="1111"/>
      <c r="P36" s="923"/>
    </row>
    <row r="37" spans="1:16" x14ac:dyDescent="0.25">
      <c r="A37" s="923"/>
      <c r="B37" s="924"/>
      <c r="C37" s="658"/>
      <c r="D37" s="934"/>
      <c r="E37" s="931"/>
      <c r="F37" s="924"/>
      <c r="G37" s="933"/>
      <c r="H37" s="932"/>
      <c r="I37" s="924"/>
      <c r="J37" s="931"/>
      <c r="K37" s="1111"/>
      <c r="L37" s="1111"/>
      <c r="M37" s="1111"/>
      <c r="N37" s="1111"/>
      <c r="O37" s="1111"/>
      <c r="P37" s="923"/>
    </row>
    <row r="38" spans="1:16" x14ac:dyDescent="0.25">
      <c r="A38" s="923"/>
      <c r="B38" s="928"/>
      <c r="C38" s="928"/>
      <c r="D38" s="928"/>
      <c r="E38" s="928"/>
      <c r="F38" s="928"/>
      <c r="G38" s="928"/>
      <c r="H38" s="928"/>
      <c r="I38" s="930"/>
      <c r="J38" s="929"/>
      <c r="K38" s="928"/>
      <c r="L38" s="928"/>
      <c r="M38" s="928"/>
      <c r="N38" s="928"/>
      <c r="O38" s="928"/>
      <c r="P38" s="923"/>
    </row>
    <row r="39" spans="1:16" x14ac:dyDescent="0.25">
      <c r="A39" s="923"/>
      <c r="B39" s="1111"/>
      <c r="C39" s="1111"/>
      <c r="D39" s="1111"/>
      <c r="E39" s="1111"/>
      <c r="F39" s="1111"/>
      <c r="G39" s="1111"/>
      <c r="H39" s="1111"/>
      <c r="I39" s="927"/>
      <c r="J39" s="926"/>
      <c r="K39" s="1111"/>
      <c r="L39" s="924"/>
      <c r="M39" s="924"/>
      <c r="N39" s="924"/>
      <c r="O39" s="924"/>
      <c r="P39" s="923"/>
    </row>
    <row r="40" spans="1:16" x14ac:dyDescent="0.25">
      <c r="B40" s="922"/>
      <c r="C40" s="922"/>
      <c r="D40" s="922"/>
      <c r="E40" s="922"/>
      <c r="F40" s="922"/>
      <c r="G40" s="922"/>
      <c r="H40" s="922"/>
      <c r="I40" s="922"/>
      <c r="J40" s="922"/>
      <c r="K40" s="922"/>
      <c r="L40" s="922"/>
      <c r="M40" s="922"/>
      <c r="N40" s="922"/>
      <c r="O40" s="922"/>
    </row>
  </sheetData>
  <hyperlinks>
    <hyperlink ref="B4" location="SU_A1200" display="SU_A1200" xr:uid="{00000000-0004-0000-8600-000000000000}"/>
    <hyperlink ref="G2" location="SU_A1200_BOM" display="Back to BOM" xr:uid="{00000000-0004-0000-8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526</v>
      </c>
    </row>
  </sheetData>
  <hyperlinks>
    <hyperlink ref="B1" location="SU_12003" display="SU_12003" xr:uid="{00000000-0004-0000-87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0-000000000000}">
  <sheetPr>
    <tabColor rgb="FFFFFF66"/>
    <pageSetUpPr fitToPage="1"/>
  </sheetPr>
  <dimension ref="A1:P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42578125" customWidth="1"/>
    <col min="3" max="3" width="15" customWidth="1"/>
    <col min="7" max="7" width="18.5703125" customWidth="1"/>
    <col min="9" max="9" width="14.710937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25">
      <c r="A3" s="99" t="s">
        <v>3</v>
      </c>
      <c r="B3" s="16" t="str">
        <f>'SU A1200'!B3</f>
        <v>Suspension &amp; Shocks</v>
      </c>
      <c r="C3" s="56"/>
      <c r="D3" s="99" t="s">
        <v>6</v>
      </c>
      <c r="E3" s="270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25">
      <c r="A6" s="99" t="s">
        <v>7</v>
      </c>
      <c r="B6" t="s">
        <v>527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97" t="s">
        <v>23</v>
      </c>
      <c r="G10" s="1097" t="s">
        <v>24</v>
      </c>
      <c r="H10" s="1097" t="s">
        <v>25</v>
      </c>
      <c r="I10" s="1097" t="s">
        <v>26</v>
      </c>
      <c r="J10" s="1097" t="s">
        <v>27</v>
      </c>
      <c r="K10" s="1097" t="s">
        <v>28</v>
      </c>
      <c r="L10" s="1097" t="s">
        <v>29</v>
      </c>
      <c r="M10" s="1097" t="s">
        <v>17</v>
      </c>
      <c r="N10" s="1097" t="s">
        <v>18</v>
      </c>
      <c r="O10" s="62"/>
    </row>
    <row r="11" spans="1:16" ht="30" x14ac:dyDescent="0.25">
      <c r="A11" s="1112">
        <v>10</v>
      </c>
      <c r="B11" s="1113" t="s">
        <v>301</v>
      </c>
      <c r="C11" s="1114" t="s">
        <v>416</v>
      </c>
      <c r="D11" s="1115">
        <v>2.25</v>
      </c>
      <c r="E11" s="1116">
        <f>L11*J11*K11</f>
        <v>9.4700168949810731E-3</v>
      </c>
      <c r="F11" s="1114" t="s">
        <v>141</v>
      </c>
      <c r="G11" s="1114"/>
      <c r="H11" s="1117"/>
      <c r="I11" s="1118" t="s">
        <v>415</v>
      </c>
      <c r="J11" s="1119">
        <f>PI()*8*8/1000000</f>
        <v>2.0106192982974677E-4</v>
      </c>
      <c r="K11" s="1120">
        <v>6.0000000000000001E-3</v>
      </c>
      <c r="L11" s="1121">
        <v>7850</v>
      </c>
      <c r="M11" s="1122">
        <v>1</v>
      </c>
      <c r="N11" s="1115">
        <f>IF(J11="",D11*M11,D11*J11*K11*L11*M11)</f>
        <v>2.1307538013707415E-2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07" t="s">
        <v>18</v>
      </c>
      <c r="N12" s="106">
        <f>SUM(N11:N11)</f>
        <v>2.1307538013707415E-2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108" t="s">
        <v>14</v>
      </c>
      <c r="B14" s="1097" t="s">
        <v>31</v>
      </c>
      <c r="C14" s="1097" t="s">
        <v>20</v>
      </c>
      <c r="D14" s="1097" t="s">
        <v>21</v>
      </c>
      <c r="E14" s="1097" t="s">
        <v>32</v>
      </c>
      <c r="F14" s="1097" t="s">
        <v>17</v>
      </c>
      <c r="G14" s="1097" t="s">
        <v>33</v>
      </c>
      <c r="H14" s="1097" t="s">
        <v>34</v>
      </c>
      <c r="I14" s="1097" t="s">
        <v>18</v>
      </c>
      <c r="J14" s="24"/>
      <c r="K14" s="24"/>
      <c r="L14" s="24"/>
      <c r="M14" s="24"/>
      <c r="N14" s="24"/>
      <c r="O14" s="62"/>
    </row>
    <row r="15" spans="1:16" ht="45" x14ac:dyDescent="0.25">
      <c r="A15" s="1123">
        <v>10</v>
      </c>
      <c r="B15" s="1124" t="s">
        <v>344</v>
      </c>
      <c r="C15" s="1124"/>
      <c r="D15" s="1125">
        <v>1.3</v>
      </c>
      <c r="E15" s="1124" t="s">
        <v>35</v>
      </c>
      <c r="F15" s="1124">
        <v>1</v>
      </c>
      <c r="G15" s="1124" t="s">
        <v>525</v>
      </c>
      <c r="H15" s="1124">
        <f>1/8</f>
        <v>0.125</v>
      </c>
      <c r="I15" s="1125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23">
        <v>20</v>
      </c>
      <c r="B16" s="1124" t="s">
        <v>92</v>
      </c>
      <c r="C16" s="1124"/>
      <c r="D16" s="1125">
        <v>0.04</v>
      </c>
      <c r="E16" s="1124" t="s">
        <v>93</v>
      </c>
      <c r="F16" s="1124">
        <v>1.5</v>
      </c>
      <c r="G16" s="1124" t="s">
        <v>339</v>
      </c>
      <c r="H16" s="1124">
        <v>3</v>
      </c>
      <c r="I16" s="1125">
        <f>D16*F16*H16</f>
        <v>0.18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1200" display="SU_A1200" xr:uid="{00000000-0004-0000-8800-000000000000}"/>
    <hyperlink ref="G2" location="SU_A1200_BOM" display="Back to BOM" xr:uid="{00000000-0004-0000-88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528</v>
      </c>
    </row>
  </sheetData>
  <hyperlinks>
    <hyperlink ref="B1" location="SU_12004" display="SU_12004" xr:uid="{00000000-0004-0000-8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0-000000000000}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SU_A1300_pa+SU_A1300_m+SU_A1300_p+SU_A1300_f</f>
        <v>12.362038127225963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529</v>
      </c>
      <c r="C4" s="698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530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N2*SU_A1300_q</f>
        <v>24.724076254451926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531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27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143">
        <v>10</v>
      </c>
      <c r="B10" s="270" t="str">
        <f>+'SU 13001'!B5</f>
        <v>Steel cylinder for pushrod</v>
      </c>
      <c r="C10" s="1101">
        <f>'SU 13001'!N2</f>
        <v>1.4513899941560895</v>
      </c>
      <c r="D10" s="1144">
        <f>SU_13001_q</f>
        <v>1</v>
      </c>
      <c r="E10" s="1101">
        <f>C10*D10</f>
        <v>1.4513899941560895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1143">
        <v>20</v>
      </c>
      <c r="B11" s="1145" t="str">
        <f>+'SU 13002'!B5</f>
        <v>Spacer</v>
      </c>
      <c r="C11" s="1101">
        <f>'SU 13002'!N2</f>
        <v>0.36380753801370747</v>
      </c>
      <c r="D11" s="1143">
        <f>SU_13002_q</f>
        <v>4</v>
      </c>
      <c r="E11" s="1101">
        <f>C11*D11</f>
        <v>1.4552301520548299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25">
      <c r="A12" s="63"/>
      <c r="B12" s="56"/>
      <c r="C12" s="56"/>
      <c r="D12" s="254" t="s">
        <v>18</v>
      </c>
      <c r="E12" s="234">
        <f>SUM(E10:E11)</f>
        <v>2.9066201462109191</v>
      </c>
      <c r="F12" s="57"/>
      <c r="G12" s="57"/>
      <c r="H12" s="57"/>
      <c r="I12" s="57"/>
      <c r="J12" s="57"/>
      <c r="K12" s="57"/>
      <c r="L12" s="57"/>
      <c r="M12" s="57"/>
      <c r="N12" s="57"/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95" t="s">
        <v>14</v>
      </c>
      <c r="B14" s="95" t="s">
        <v>19</v>
      </c>
      <c r="C14" s="95" t="s">
        <v>20</v>
      </c>
      <c r="D14" s="95" t="s">
        <v>21</v>
      </c>
      <c r="E14" s="95" t="s">
        <v>22</v>
      </c>
      <c r="F14" s="95" t="s">
        <v>23</v>
      </c>
      <c r="G14" s="95" t="s">
        <v>24</v>
      </c>
      <c r="H14" s="95" t="s">
        <v>25</v>
      </c>
      <c r="I14" s="95" t="s">
        <v>26</v>
      </c>
      <c r="J14" s="95" t="s">
        <v>27</v>
      </c>
      <c r="K14" s="95" t="s">
        <v>28</v>
      </c>
      <c r="L14" s="95" t="s">
        <v>29</v>
      </c>
      <c r="M14" s="95" t="s">
        <v>17</v>
      </c>
      <c r="N14" s="95" t="s">
        <v>18</v>
      </c>
      <c r="O14" s="62"/>
    </row>
    <row r="15" spans="1:15" x14ac:dyDescent="0.25">
      <c r="A15" s="72">
        <v>10</v>
      </c>
      <c r="B15" s="1146" t="s">
        <v>399</v>
      </c>
      <c r="C15" s="1146" t="s">
        <v>400</v>
      </c>
      <c r="D15" s="1147">
        <f>0.02*E15^2+1.22</f>
        <v>2.5</v>
      </c>
      <c r="E15" s="1146">
        <v>8</v>
      </c>
      <c r="F15" s="1146" t="s">
        <v>30</v>
      </c>
      <c r="G15" s="1146"/>
      <c r="H15" s="1084"/>
      <c r="I15" s="1148" t="s">
        <v>397</v>
      </c>
      <c r="J15" s="1149"/>
      <c r="K15" s="1084"/>
      <c r="L15" s="1084"/>
      <c r="M15" s="1149">
        <v>1</v>
      </c>
      <c r="N15" s="1088">
        <f>D15*M15</f>
        <v>2.5</v>
      </c>
      <c r="O15" s="62"/>
    </row>
    <row r="16" spans="1:15" s="22" customFormat="1" x14ac:dyDescent="0.25">
      <c r="A16" s="72">
        <v>20</v>
      </c>
      <c r="B16" s="1146" t="s">
        <v>399</v>
      </c>
      <c r="C16" s="1146" t="s">
        <v>398</v>
      </c>
      <c r="D16" s="1147">
        <f>0.02*E16^2+1.22</f>
        <v>2.5</v>
      </c>
      <c r="E16" s="1146">
        <v>8</v>
      </c>
      <c r="F16" s="1146" t="s">
        <v>30</v>
      </c>
      <c r="G16" s="1146"/>
      <c r="H16" s="1084"/>
      <c r="I16" s="1150" t="s">
        <v>397</v>
      </c>
      <c r="J16" s="1149"/>
      <c r="K16" s="1084"/>
      <c r="L16" s="1086"/>
      <c r="M16" s="1149">
        <v>1</v>
      </c>
      <c r="N16" s="1088">
        <f>D16*M16</f>
        <v>2.5</v>
      </c>
      <c r="O16" s="66"/>
    </row>
    <row r="17" spans="1:15" x14ac:dyDescent="0.25">
      <c r="A17" s="67"/>
      <c r="B17" s="865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95" t="s">
        <v>18</v>
      </c>
      <c r="N17" s="97">
        <f>SUM(N15:N16)</f>
        <v>5</v>
      </c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62"/>
    </row>
    <row r="19" spans="1:15" s="25" customFormat="1" x14ac:dyDescent="0.25">
      <c r="A19" s="95" t="s">
        <v>14</v>
      </c>
      <c r="B19" s="95" t="s">
        <v>31</v>
      </c>
      <c r="C19" s="95" t="s">
        <v>20</v>
      </c>
      <c r="D19" s="95" t="s">
        <v>21</v>
      </c>
      <c r="E19" s="95" t="s">
        <v>32</v>
      </c>
      <c r="F19" s="95" t="s">
        <v>17</v>
      </c>
      <c r="G19" s="95" t="s">
        <v>33</v>
      </c>
      <c r="H19" s="95" t="s">
        <v>34</v>
      </c>
      <c r="I19" s="95" t="s">
        <v>18</v>
      </c>
      <c r="J19" s="24"/>
      <c r="K19" s="24"/>
      <c r="L19" s="24"/>
      <c r="M19" s="24"/>
      <c r="N19" s="24"/>
      <c r="O19" s="68"/>
    </row>
    <row r="20" spans="1:15" x14ac:dyDescent="0.25">
      <c r="A20" s="72">
        <v>10</v>
      </c>
      <c r="B20" s="1151" t="s">
        <v>289</v>
      </c>
      <c r="C20" s="1152" t="s">
        <v>392</v>
      </c>
      <c r="D20" s="74">
        <v>0.12</v>
      </c>
      <c r="E20" s="72" t="s">
        <v>35</v>
      </c>
      <c r="F20" s="72">
        <v>1</v>
      </c>
      <c r="G20" s="72"/>
      <c r="H20" s="72">
        <v>1</v>
      </c>
      <c r="I20" s="74">
        <f>D20*F20*H20</f>
        <v>0.12</v>
      </c>
      <c r="J20" s="56"/>
      <c r="K20" s="56"/>
      <c r="L20" s="56"/>
      <c r="M20" s="56"/>
      <c r="N20" s="56"/>
      <c r="O20" s="62"/>
    </row>
    <row r="21" spans="1:15" x14ac:dyDescent="0.25">
      <c r="A21" s="72">
        <v>20</v>
      </c>
      <c r="B21" s="1151" t="s">
        <v>391</v>
      </c>
      <c r="C21" s="1152" t="s">
        <v>532</v>
      </c>
      <c r="D21" s="74">
        <v>0.5</v>
      </c>
      <c r="E21" s="859" t="s">
        <v>35</v>
      </c>
      <c r="F21" s="72">
        <v>1</v>
      </c>
      <c r="G21" s="72"/>
      <c r="H21" s="72">
        <v>1</v>
      </c>
      <c r="I21" s="74">
        <f t="shared" ref="I21:I32" si="0">D21*F21*H21</f>
        <v>0.5</v>
      </c>
      <c r="J21" s="56"/>
      <c r="K21" s="56"/>
      <c r="L21" s="56"/>
      <c r="M21" s="56"/>
      <c r="N21" s="56"/>
      <c r="O21" s="62"/>
    </row>
    <row r="22" spans="1:15" x14ac:dyDescent="0.25">
      <c r="A22" s="72">
        <v>30</v>
      </c>
      <c r="B22" s="1151" t="s">
        <v>389</v>
      </c>
      <c r="C22" s="1152" t="s">
        <v>293</v>
      </c>
      <c r="D22" s="74">
        <v>1.5</v>
      </c>
      <c r="E22" s="72" t="s">
        <v>35</v>
      </c>
      <c r="F22" s="72">
        <v>1</v>
      </c>
      <c r="G22" s="72"/>
      <c r="H22" s="72">
        <v>1</v>
      </c>
      <c r="I22" s="74">
        <f t="shared" si="0"/>
        <v>1.5</v>
      </c>
      <c r="J22" s="56"/>
      <c r="K22" s="56"/>
      <c r="L22" s="56"/>
      <c r="M22" s="56"/>
      <c r="N22" s="56"/>
      <c r="O22" s="62"/>
    </row>
    <row r="23" spans="1:15" s="17" customFormat="1" x14ac:dyDescent="0.25">
      <c r="A23" s="72">
        <v>40</v>
      </c>
      <c r="B23" s="1151" t="s">
        <v>294</v>
      </c>
      <c r="C23" s="1152" t="s">
        <v>293</v>
      </c>
      <c r="D23" s="74">
        <v>0.25</v>
      </c>
      <c r="E23" s="72" t="s">
        <v>35</v>
      </c>
      <c r="F23" s="72">
        <v>1</v>
      </c>
      <c r="G23" s="72"/>
      <c r="H23" s="72">
        <v>1</v>
      </c>
      <c r="I23" s="74">
        <f t="shared" si="0"/>
        <v>0.25</v>
      </c>
      <c r="J23" s="57"/>
      <c r="K23" s="57"/>
      <c r="L23" s="57"/>
      <c r="M23" s="57"/>
      <c r="N23" s="57"/>
      <c r="O23" s="65"/>
    </row>
    <row r="24" spans="1:15" s="25" customFormat="1" x14ac:dyDescent="0.25">
      <c r="A24" s="72">
        <v>50</v>
      </c>
      <c r="B24" s="1152" t="s">
        <v>286</v>
      </c>
      <c r="C24" s="1152" t="s">
        <v>388</v>
      </c>
      <c r="D24" s="1153">
        <v>0.06</v>
      </c>
      <c r="E24" s="1154" t="s">
        <v>35</v>
      </c>
      <c r="F24" s="72">
        <v>1</v>
      </c>
      <c r="G24" s="1154"/>
      <c r="H24" s="1154">
        <v>1</v>
      </c>
      <c r="I24" s="74">
        <f t="shared" si="0"/>
        <v>0.06</v>
      </c>
      <c r="J24" s="57"/>
      <c r="K24" s="57"/>
      <c r="L24" s="57"/>
      <c r="M24" s="57"/>
      <c r="N24" s="57"/>
      <c r="O24" s="68"/>
    </row>
    <row r="25" spans="1:15" s="25" customFormat="1" x14ac:dyDescent="0.25">
      <c r="A25" s="228">
        <v>60</v>
      </c>
      <c r="B25" s="1152" t="s">
        <v>286</v>
      </c>
      <c r="C25" s="1152" t="s">
        <v>325</v>
      </c>
      <c r="D25" s="1153">
        <v>0.06</v>
      </c>
      <c r="E25" s="1154" t="s">
        <v>35</v>
      </c>
      <c r="F25" s="72">
        <v>1</v>
      </c>
      <c r="G25" s="1154"/>
      <c r="H25" s="1154">
        <v>1</v>
      </c>
      <c r="I25" s="74">
        <f t="shared" si="0"/>
        <v>0.06</v>
      </c>
      <c r="J25" s="57"/>
      <c r="K25" s="57"/>
      <c r="L25" s="57"/>
      <c r="M25" s="57"/>
      <c r="N25" s="57"/>
      <c r="O25" s="68"/>
    </row>
    <row r="26" spans="1:15" s="17" customFormat="1" ht="14.45" customHeight="1" x14ac:dyDescent="0.25">
      <c r="A26" s="228">
        <f>A25+10</f>
        <v>70</v>
      </c>
      <c r="B26" s="1151" t="s">
        <v>289</v>
      </c>
      <c r="C26" s="1152" t="s">
        <v>533</v>
      </c>
      <c r="D26" s="1153">
        <v>0.12</v>
      </c>
      <c r="E26" s="1154" t="s">
        <v>35</v>
      </c>
      <c r="F26" s="72">
        <v>1</v>
      </c>
      <c r="G26" s="1154"/>
      <c r="H26" s="1154">
        <v>1</v>
      </c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5" customHeight="1" x14ac:dyDescent="0.25">
      <c r="A27" s="228">
        <f t="shared" ref="A27:A32" si="1">A26+10</f>
        <v>80</v>
      </c>
      <c r="B27" s="1154" t="s">
        <v>286</v>
      </c>
      <c r="C27" s="1152" t="s">
        <v>386</v>
      </c>
      <c r="D27" s="1153">
        <v>0.06</v>
      </c>
      <c r="E27" s="1154" t="s">
        <v>35</v>
      </c>
      <c r="F27" s="72">
        <v>1</v>
      </c>
      <c r="G27" s="1154"/>
      <c r="H27" s="1154">
        <v>1</v>
      </c>
      <c r="I27" s="74">
        <f t="shared" si="0"/>
        <v>0.06</v>
      </c>
      <c r="J27" s="57"/>
      <c r="K27" s="57"/>
      <c r="L27" s="57"/>
      <c r="M27" s="57"/>
      <c r="N27" s="57"/>
      <c r="O27" s="65"/>
    </row>
    <row r="28" spans="1:15" s="17" customFormat="1" ht="14.45" customHeight="1" x14ac:dyDescent="0.25">
      <c r="A28" s="228">
        <f t="shared" si="1"/>
        <v>90</v>
      </c>
      <c r="B28" s="1154" t="s">
        <v>286</v>
      </c>
      <c r="C28" s="1152" t="s">
        <v>385</v>
      </c>
      <c r="D28" s="1153">
        <v>0.06</v>
      </c>
      <c r="E28" s="1154" t="s">
        <v>35</v>
      </c>
      <c r="F28" s="72">
        <v>1</v>
      </c>
      <c r="G28" s="1154"/>
      <c r="H28" s="1154">
        <v>1</v>
      </c>
      <c r="I28" s="74">
        <f t="shared" si="0"/>
        <v>0.06</v>
      </c>
      <c r="J28" s="57"/>
      <c r="K28" s="57"/>
      <c r="L28" s="57"/>
      <c r="M28" s="57"/>
      <c r="N28" s="57"/>
      <c r="O28" s="65"/>
    </row>
    <row r="29" spans="1:15" s="17" customFormat="1" ht="14.45" customHeight="1" x14ac:dyDescent="0.25">
      <c r="A29" s="228">
        <f t="shared" si="1"/>
        <v>100</v>
      </c>
      <c r="B29" s="1151" t="s">
        <v>289</v>
      </c>
      <c r="C29" s="1152" t="s">
        <v>534</v>
      </c>
      <c r="D29" s="1153">
        <v>0.12</v>
      </c>
      <c r="E29" s="1154" t="s">
        <v>35</v>
      </c>
      <c r="F29" s="72">
        <v>1</v>
      </c>
      <c r="G29" s="1154"/>
      <c r="H29" s="1154">
        <v>1</v>
      </c>
      <c r="I29" s="74">
        <f t="shared" si="0"/>
        <v>0.12</v>
      </c>
      <c r="J29" s="57"/>
      <c r="K29" s="57"/>
      <c r="L29" s="57"/>
      <c r="M29" s="57"/>
      <c r="N29" s="57"/>
      <c r="O29" s="65"/>
    </row>
    <row r="30" spans="1:15" s="17" customFormat="1" ht="14.45" customHeight="1" x14ac:dyDescent="0.25">
      <c r="A30" s="228">
        <f t="shared" si="1"/>
        <v>110</v>
      </c>
      <c r="B30" s="1151" t="s">
        <v>289</v>
      </c>
      <c r="C30" s="1152" t="s">
        <v>291</v>
      </c>
      <c r="D30" s="1153">
        <v>0.12</v>
      </c>
      <c r="E30" s="1154" t="s">
        <v>35</v>
      </c>
      <c r="F30" s="72">
        <v>1</v>
      </c>
      <c r="G30" s="1154"/>
      <c r="H30" s="1154">
        <v>1</v>
      </c>
      <c r="I30" s="74">
        <f t="shared" si="0"/>
        <v>0.12</v>
      </c>
      <c r="J30" s="57"/>
      <c r="K30" s="57"/>
      <c r="L30" s="57"/>
      <c r="M30" s="57"/>
      <c r="N30" s="57"/>
      <c r="O30" s="65"/>
    </row>
    <row r="31" spans="1:15" s="17" customFormat="1" ht="14.45" customHeight="1" x14ac:dyDescent="0.25">
      <c r="A31" s="228">
        <f t="shared" si="1"/>
        <v>120</v>
      </c>
      <c r="B31" s="1151" t="s">
        <v>292</v>
      </c>
      <c r="C31" s="1152" t="s">
        <v>293</v>
      </c>
      <c r="D31" s="1153">
        <v>0.75</v>
      </c>
      <c r="E31" s="1154" t="s">
        <v>35</v>
      </c>
      <c r="F31" s="72">
        <v>1</v>
      </c>
      <c r="G31" s="1154"/>
      <c r="H31" s="1154">
        <v>1</v>
      </c>
      <c r="I31" s="74">
        <f t="shared" si="0"/>
        <v>0.75</v>
      </c>
      <c r="J31" s="57"/>
      <c r="K31" s="57"/>
      <c r="L31" s="57"/>
      <c r="M31" s="57"/>
      <c r="N31" s="57"/>
      <c r="O31" s="65"/>
    </row>
    <row r="32" spans="1:15" s="17" customFormat="1" ht="14.45" customHeight="1" x14ac:dyDescent="0.25">
      <c r="A32" s="228">
        <f t="shared" si="1"/>
        <v>130</v>
      </c>
      <c r="B32" s="1151" t="s">
        <v>294</v>
      </c>
      <c r="C32" s="1152" t="s">
        <v>293</v>
      </c>
      <c r="D32" s="1153">
        <v>0.25</v>
      </c>
      <c r="E32" s="1154" t="s">
        <v>35</v>
      </c>
      <c r="F32" s="72">
        <v>1</v>
      </c>
      <c r="G32" s="1154"/>
      <c r="H32" s="1154">
        <v>1</v>
      </c>
      <c r="I32" s="74">
        <f t="shared" si="0"/>
        <v>0.25</v>
      </c>
      <c r="J32" s="57"/>
      <c r="K32" s="57"/>
      <c r="L32" s="57"/>
      <c r="M32" s="57"/>
      <c r="N32" s="57"/>
      <c r="O32" s="65"/>
    </row>
    <row r="33" spans="1:15" x14ac:dyDescent="0.25">
      <c r="A33" s="67"/>
      <c r="B33" s="24"/>
      <c r="C33" s="24"/>
      <c r="D33" s="24"/>
      <c r="E33" s="24"/>
      <c r="F33" s="24"/>
      <c r="G33" s="24"/>
      <c r="H33" s="98" t="s">
        <v>18</v>
      </c>
      <c r="I33" s="97">
        <f>SUM(I20:I32)</f>
        <v>3.9700000000000006</v>
      </c>
      <c r="J33" s="56"/>
      <c r="K33" s="56"/>
      <c r="L33" s="56"/>
      <c r="M33" s="56"/>
      <c r="N33" s="56"/>
      <c r="O33" s="62"/>
    </row>
    <row r="34" spans="1:15" x14ac:dyDescent="0.25">
      <c r="A34" s="63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62"/>
    </row>
    <row r="35" spans="1:15" x14ac:dyDescent="0.25">
      <c r="A35" s="95" t="s">
        <v>14</v>
      </c>
      <c r="B35" s="95" t="s">
        <v>36</v>
      </c>
      <c r="C35" s="95" t="s">
        <v>20</v>
      </c>
      <c r="D35" s="95" t="s">
        <v>21</v>
      </c>
      <c r="E35" s="95" t="s">
        <v>22</v>
      </c>
      <c r="F35" s="95" t="s">
        <v>23</v>
      </c>
      <c r="G35" s="95" t="s">
        <v>24</v>
      </c>
      <c r="H35" s="95" t="s">
        <v>25</v>
      </c>
      <c r="I35" s="95" t="s">
        <v>17</v>
      </c>
      <c r="J35" s="95" t="s">
        <v>18</v>
      </c>
      <c r="K35" s="56"/>
      <c r="L35" s="56"/>
      <c r="M35" s="56"/>
      <c r="N35" s="56"/>
      <c r="O35" s="62"/>
    </row>
    <row r="36" spans="1:15" x14ac:dyDescent="0.25">
      <c r="A36" s="72">
        <v>10</v>
      </c>
      <c r="B36" s="72" t="s">
        <v>295</v>
      </c>
      <c r="C36" s="72" t="s">
        <v>535</v>
      </c>
      <c r="D36" s="653">
        <f>0.8/105154*E36^2*G36*SQRT(G36)+0.003*EXP(0.319*E36)</f>
        <v>0.18547981844542938</v>
      </c>
      <c r="E36" s="654">
        <v>8</v>
      </c>
      <c r="F36" s="654" t="s">
        <v>30</v>
      </c>
      <c r="G36" s="654">
        <v>45</v>
      </c>
      <c r="H36" s="654" t="s">
        <v>30</v>
      </c>
      <c r="I36" s="82">
        <v>1</v>
      </c>
      <c r="J36" s="74">
        <f>D36*I36</f>
        <v>0.18547981844542938</v>
      </c>
      <c r="K36" s="56"/>
      <c r="L36" s="56"/>
      <c r="M36" s="56"/>
      <c r="N36" s="56"/>
      <c r="O36" s="62"/>
    </row>
    <row r="37" spans="1:15" x14ac:dyDescent="0.25">
      <c r="A37" s="72">
        <f>A36+10</f>
        <v>20</v>
      </c>
      <c r="B37" s="72" t="s">
        <v>295</v>
      </c>
      <c r="C37" s="72" t="s">
        <v>536</v>
      </c>
      <c r="D37" s="653">
        <f>0.8/105154*E37^2*G37*SQRT(G37)+0.003*EXP(0.319*E37)</f>
        <v>0.18547981844542938</v>
      </c>
      <c r="E37" s="654">
        <v>8</v>
      </c>
      <c r="F37" s="654" t="s">
        <v>30</v>
      </c>
      <c r="G37" s="654">
        <v>45</v>
      </c>
      <c r="H37" s="654" t="s">
        <v>30</v>
      </c>
      <c r="I37" s="82">
        <v>1</v>
      </c>
      <c r="J37" s="74">
        <f t="shared" ref="J37:J40" si="2">D37*I37</f>
        <v>0.18547981844542938</v>
      </c>
      <c r="K37" s="56"/>
      <c r="L37" s="56"/>
      <c r="M37" s="56"/>
      <c r="N37" s="56"/>
      <c r="O37" s="62"/>
    </row>
    <row r="38" spans="1:15" x14ac:dyDescent="0.25">
      <c r="A38" s="72">
        <f t="shared" ref="A38:A40" si="3">A37+10</f>
        <v>30</v>
      </c>
      <c r="B38" s="72" t="s">
        <v>297</v>
      </c>
      <c r="C38" s="72"/>
      <c r="D38" s="653">
        <v>0.01</v>
      </c>
      <c r="E38" s="72">
        <v>8</v>
      </c>
      <c r="F38" s="655" t="s">
        <v>35</v>
      </c>
      <c r="G38" s="72"/>
      <c r="H38" s="72"/>
      <c r="I38" s="82">
        <v>4</v>
      </c>
      <c r="J38" s="74">
        <f t="shared" si="2"/>
        <v>0.04</v>
      </c>
      <c r="K38" s="56"/>
      <c r="L38" s="56"/>
      <c r="M38" s="56"/>
      <c r="N38" s="56"/>
      <c r="O38" s="62"/>
    </row>
    <row r="39" spans="1:15" x14ac:dyDescent="0.25">
      <c r="A39" s="72">
        <f t="shared" si="3"/>
        <v>40</v>
      </c>
      <c r="B39" s="72" t="s">
        <v>298</v>
      </c>
      <c r="C39" s="72" t="s">
        <v>381</v>
      </c>
      <c r="D39" s="653">
        <f>0.009*EXP(0.2*E39)</f>
        <v>2.9881052304628931E-2</v>
      </c>
      <c r="E39" s="72">
        <v>6</v>
      </c>
      <c r="F39" s="655" t="s">
        <v>30</v>
      </c>
      <c r="G39" s="72"/>
      <c r="H39" s="72"/>
      <c r="I39" s="82">
        <v>1</v>
      </c>
      <c r="J39" s="74">
        <f t="shared" si="2"/>
        <v>2.9881052304628931E-2</v>
      </c>
      <c r="K39" s="56"/>
      <c r="L39" s="56"/>
      <c r="M39" s="56"/>
      <c r="N39" s="56"/>
      <c r="O39" s="62"/>
    </row>
    <row r="40" spans="1:15" x14ac:dyDescent="0.25">
      <c r="A40" s="72">
        <f t="shared" si="3"/>
        <v>50</v>
      </c>
      <c r="B40" s="72" t="s">
        <v>298</v>
      </c>
      <c r="C40" s="72" t="s">
        <v>380</v>
      </c>
      <c r="D40" s="653">
        <f>0.009*EXP(0.2*E40)</f>
        <v>4.4577291819556032E-2</v>
      </c>
      <c r="E40" s="72">
        <v>8</v>
      </c>
      <c r="F40" s="655" t="s">
        <v>30</v>
      </c>
      <c r="G40" s="72"/>
      <c r="H40" s="72"/>
      <c r="I40" s="82">
        <v>1</v>
      </c>
      <c r="J40" s="74">
        <f t="shared" si="2"/>
        <v>4.4577291819556032E-2</v>
      </c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4"/>
      <c r="I41" s="98" t="s">
        <v>18</v>
      </c>
      <c r="J41" s="97">
        <f>SUM(J36:J40)</f>
        <v>0.48541798101504374</v>
      </c>
      <c r="K41" s="56"/>
      <c r="L41" s="56"/>
      <c r="M41" s="56"/>
      <c r="N41" s="56"/>
      <c r="O41" s="62"/>
    </row>
    <row r="42" spans="1:15" x14ac:dyDescent="0.25">
      <c r="A42" s="63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62"/>
    </row>
    <row r="43" spans="1:15" ht="15.75" thickBot="1" x14ac:dyDescent="0.3">
      <c r="A43" s="69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1"/>
    </row>
    <row r="44" spans="1:15" x14ac:dyDescent="0.25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1" location="SU_13002" display="SU_13002" xr:uid="{00000000-0004-0000-8A00-000000000000}"/>
    <hyperlink ref="B10" location="SU_13001" display="SU_13001" xr:uid="{00000000-0004-0000-8A00-000001000000}"/>
    <hyperlink ref="E2" location="SU_A1300_BOM" display="Back to BOM" xr:uid="{00000000-0004-0000-8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FF66"/>
    <pageSetUpPr fitToPage="1"/>
  </sheetPr>
  <dimension ref="A1:L5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20" customWidth="1"/>
  </cols>
  <sheetData>
    <row r="1" spans="1:2" x14ac:dyDescent="0.25">
      <c r="A1" t="s">
        <v>99</v>
      </c>
      <c r="B1" s="88" t="str">
        <f>SU_01007</f>
        <v>SU_01007</v>
      </c>
    </row>
    <row r="58" spans="12:12" x14ac:dyDescent="0.25">
      <c r="L58" s="86">
        <f>'SU 01002'!L52</f>
        <v>0</v>
      </c>
    </row>
  </sheetData>
  <hyperlinks>
    <hyperlink ref="B1" location="SU_01007" display="SU_01007" xr:uid="{00000000-0004-0000-0D00-000000000000}"/>
    <hyperlink ref="L58" location="BR_01001" display="BR_01001" xr:uid="{00000000-0004-0000-0D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6" fitToHeight="99" orientation="landscape" r:id="rId1"/>
  <headerFooter>
    <oddFooter>Page &amp;P</oddFooter>
  </headerFooter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0-000000000000}">
  <sheetPr>
    <tabColor rgb="FFFFFF66"/>
    <pageSetUpPr fitToPage="1"/>
  </sheetPr>
  <dimension ref="A1:O283"/>
  <sheetViews>
    <sheetView zoomScale="70" zoomScaleNormal="70" zoomScalePageLayoutView="70" workbookViewId="0">
      <selection activeCell="B6" sqref="B6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40.28515625" customWidth="1"/>
    <col min="9" max="9" width="32.85546875" customWidth="1"/>
    <col min="10" max="10" width="13.57031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1048" t="s">
        <v>0</v>
      </c>
      <c r="B2" s="16" t="s">
        <v>37</v>
      </c>
      <c r="C2" s="1049"/>
      <c r="D2" s="1049"/>
      <c r="E2" s="1049"/>
      <c r="F2" s="87" t="s">
        <v>62</v>
      </c>
      <c r="G2" s="1049"/>
      <c r="H2" s="1049"/>
      <c r="I2" s="1049"/>
      <c r="J2" s="1050" t="s">
        <v>1</v>
      </c>
      <c r="K2" s="1051">
        <v>81</v>
      </c>
      <c r="L2" s="1049"/>
      <c r="M2" s="1052" t="s">
        <v>16</v>
      </c>
      <c r="N2" s="1053">
        <f>SU_13001_m+SU_13001_p</f>
        <v>1.4513899941560895</v>
      </c>
      <c r="O2" s="259"/>
    </row>
    <row r="3" spans="1:15" x14ac:dyDescent="0.25">
      <c r="A3" s="1054" t="s">
        <v>3</v>
      </c>
      <c r="B3" s="16" t="str">
        <f>'SU A1300'!B3</f>
        <v>Suspension &amp; Shocks</v>
      </c>
      <c r="C3" s="1049"/>
      <c r="D3" s="1052" t="s">
        <v>6</v>
      </c>
      <c r="E3" s="87" t="s">
        <v>60</v>
      </c>
      <c r="F3" s="1049"/>
      <c r="G3" s="1049"/>
      <c r="H3" s="1049"/>
      <c r="I3" s="1049"/>
      <c r="J3" s="1049"/>
      <c r="K3" s="1049"/>
      <c r="L3" s="1049"/>
      <c r="M3" s="1055" t="s">
        <v>4</v>
      </c>
      <c r="N3" s="1056">
        <v>1</v>
      </c>
      <c r="O3" s="259"/>
    </row>
    <row r="4" spans="1:15" x14ac:dyDescent="0.25">
      <c r="A4" s="1054" t="s">
        <v>5</v>
      </c>
      <c r="B4" s="87" t="str">
        <f>'SU A1300'!B4</f>
        <v>Rear Pushrod</v>
      </c>
      <c r="C4" s="1049"/>
      <c r="D4" s="1055" t="s">
        <v>8</v>
      </c>
      <c r="E4" s="1049"/>
      <c r="F4" s="1049"/>
      <c r="G4" s="1049"/>
      <c r="H4" s="1049"/>
      <c r="I4" s="1049"/>
      <c r="J4" s="1052" t="s">
        <v>6</v>
      </c>
      <c r="K4" s="1049"/>
      <c r="L4" s="1049"/>
      <c r="M4" s="1049"/>
      <c r="N4" s="1049"/>
      <c r="O4" s="259"/>
    </row>
    <row r="5" spans="1:15" x14ac:dyDescent="0.25">
      <c r="A5" s="1054" t="s">
        <v>15</v>
      </c>
      <c r="B5" s="730" t="s">
        <v>537</v>
      </c>
      <c r="C5" s="1049"/>
      <c r="D5" s="1055" t="s">
        <v>12</v>
      </c>
      <c r="E5" s="1049"/>
      <c r="F5" s="1049"/>
      <c r="G5" s="1049"/>
      <c r="H5" s="1049"/>
      <c r="I5" s="1049"/>
      <c r="J5" s="1055" t="s">
        <v>8</v>
      </c>
      <c r="K5" s="1049"/>
      <c r="L5" s="1049"/>
      <c r="M5" s="1052" t="s">
        <v>9</v>
      </c>
      <c r="N5" s="1053">
        <f>N2*SU_13001_q</f>
        <v>1.4513899941560895</v>
      </c>
      <c r="O5" s="259"/>
    </row>
    <row r="6" spans="1:15" x14ac:dyDescent="0.25">
      <c r="A6" s="1054" t="s">
        <v>7</v>
      </c>
      <c r="B6" s="56" t="s">
        <v>538</v>
      </c>
      <c r="C6" s="1049"/>
      <c r="D6" s="1049"/>
      <c r="E6" s="1049"/>
      <c r="F6" s="1049"/>
      <c r="G6" s="1049"/>
      <c r="H6" s="1049"/>
      <c r="I6" s="1049"/>
      <c r="J6" s="1055" t="s">
        <v>12</v>
      </c>
      <c r="K6" s="1049"/>
      <c r="L6" s="1049"/>
      <c r="M6" s="1049"/>
      <c r="N6" s="1049"/>
      <c r="O6" s="259"/>
    </row>
    <row r="7" spans="1:15" x14ac:dyDescent="0.25">
      <c r="A7" s="1054" t="s">
        <v>10</v>
      </c>
      <c r="B7" s="16" t="s">
        <v>11</v>
      </c>
      <c r="C7" s="1049"/>
      <c r="D7" s="1049"/>
      <c r="E7" s="1049"/>
      <c r="F7" s="1049"/>
      <c r="G7" s="1049"/>
      <c r="H7" s="1049"/>
      <c r="I7" s="1049"/>
      <c r="J7" s="1049"/>
      <c r="K7" s="1049"/>
      <c r="L7" s="1049"/>
      <c r="M7" s="1049"/>
      <c r="N7" s="1049"/>
      <c r="O7" s="259"/>
    </row>
    <row r="8" spans="1:15" x14ac:dyDescent="0.25">
      <c r="A8" s="1054" t="s">
        <v>13</v>
      </c>
      <c r="B8" s="16"/>
      <c r="C8" s="1049"/>
      <c r="D8" s="1049"/>
      <c r="E8" s="1049"/>
      <c r="F8" s="1049"/>
      <c r="G8" s="1049"/>
      <c r="H8" s="1049"/>
      <c r="I8" s="1049"/>
      <c r="J8" s="1049"/>
      <c r="K8" s="1049"/>
      <c r="L8" s="1049"/>
      <c r="M8" s="1049"/>
      <c r="N8" s="1049"/>
      <c r="O8" s="259"/>
    </row>
    <row r="9" spans="1:15" x14ac:dyDescent="0.25">
      <c r="A9" s="1057"/>
      <c r="B9" s="1049"/>
      <c r="C9" s="1049"/>
      <c r="D9" s="1049"/>
      <c r="E9" s="1049"/>
      <c r="F9" s="1049"/>
      <c r="G9" s="1049"/>
      <c r="H9" s="1049"/>
      <c r="I9" s="1049"/>
      <c r="J9" s="1049"/>
      <c r="K9" s="1049"/>
      <c r="L9" s="1049"/>
      <c r="M9" s="1049"/>
      <c r="N9" s="1049"/>
      <c r="O9" s="259"/>
    </row>
    <row r="10" spans="1:15" x14ac:dyDescent="0.25">
      <c r="A10" s="1058" t="s">
        <v>14</v>
      </c>
      <c r="B10" s="1059" t="s">
        <v>19</v>
      </c>
      <c r="C10" s="1059" t="s">
        <v>20</v>
      </c>
      <c r="D10" s="1059" t="s">
        <v>21</v>
      </c>
      <c r="E10" s="1059" t="s">
        <v>22</v>
      </c>
      <c r="F10" s="1059" t="s">
        <v>23</v>
      </c>
      <c r="G10" s="1059" t="s">
        <v>24</v>
      </c>
      <c r="H10" s="1059" t="s">
        <v>25</v>
      </c>
      <c r="I10" s="1059" t="s">
        <v>26</v>
      </c>
      <c r="J10" s="1059" t="s">
        <v>27</v>
      </c>
      <c r="K10" s="1059" t="s">
        <v>28</v>
      </c>
      <c r="L10" s="1059" t="s">
        <v>29</v>
      </c>
      <c r="M10" s="1059" t="s">
        <v>17</v>
      </c>
      <c r="N10" s="1059" t="s">
        <v>18</v>
      </c>
      <c r="O10" s="259"/>
    </row>
    <row r="11" spans="1:15" ht="15" customHeight="1" x14ac:dyDescent="0.25">
      <c r="A11" s="1060">
        <v>10</v>
      </c>
      <c r="B11" s="790" t="s">
        <v>539</v>
      </c>
      <c r="C11" s="1061" t="s">
        <v>540</v>
      </c>
      <c r="D11" s="1062">
        <v>2.25</v>
      </c>
      <c r="E11" s="1063">
        <f>J11*K11*L11</f>
        <v>4.5062219624928589E-2</v>
      </c>
      <c r="F11" s="1064" t="s">
        <v>141</v>
      </c>
      <c r="G11" s="1064"/>
      <c r="H11" s="1065"/>
      <c r="I11" s="1066" t="s">
        <v>541</v>
      </c>
      <c r="J11" s="1066">
        <f>PI()*(7.5*10^-3)^2</f>
        <v>1.7671458676442585E-4</v>
      </c>
      <c r="K11" s="1067">
        <v>0.03</v>
      </c>
      <c r="L11" s="1068">
        <v>8500</v>
      </c>
      <c r="M11" s="1068">
        <v>1</v>
      </c>
      <c r="N11" s="1062">
        <f>D11*E11</f>
        <v>0.10138999415608932</v>
      </c>
      <c r="O11" s="259"/>
    </row>
    <row r="12" spans="1:15" x14ac:dyDescent="0.25">
      <c r="A12" s="1069"/>
      <c r="B12" s="1070"/>
      <c r="C12" s="1070"/>
      <c r="D12" s="1070"/>
      <c r="E12" s="1070"/>
      <c r="F12" s="1070"/>
      <c r="G12" s="1070"/>
      <c r="H12" s="1070"/>
      <c r="I12" s="1070"/>
      <c r="J12" s="1070"/>
      <c r="K12" s="1070"/>
      <c r="L12" s="1070"/>
      <c r="M12" s="1071" t="s">
        <v>18</v>
      </c>
      <c r="N12" s="1072">
        <f>N11</f>
        <v>0.10138999415608932</v>
      </c>
      <c r="O12" s="259"/>
    </row>
    <row r="13" spans="1:15" x14ac:dyDescent="0.25">
      <c r="A13" s="1057"/>
      <c r="B13" s="1049"/>
      <c r="C13" s="1049"/>
      <c r="D13" s="1049"/>
      <c r="E13" s="1049"/>
      <c r="F13" s="1049"/>
      <c r="G13" s="1049"/>
      <c r="H13" s="1049"/>
      <c r="I13" s="1049"/>
      <c r="J13" s="1049"/>
      <c r="K13" s="1049"/>
      <c r="L13" s="1049"/>
      <c r="M13" s="1049"/>
      <c r="N13" s="1049"/>
      <c r="O13" s="259"/>
    </row>
    <row r="14" spans="1:15" x14ac:dyDescent="0.25">
      <c r="A14" s="1155" t="s">
        <v>14</v>
      </c>
      <c r="B14" s="1156" t="s">
        <v>31</v>
      </c>
      <c r="C14" s="1156" t="s">
        <v>20</v>
      </c>
      <c r="D14" s="1156" t="s">
        <v>21</v>
      </c>
      <c r="E14" s="1156" t="s">
        <v>32</v>
      </c>
      <c r="F14" s="1156" t="s">
        <v>17</v>
      </c>
      <c r="G14" s="1156" t="s">
        <v>33</v>
      </c>
      <c r="H14" s="1156" t="s">
        <v>34</v>
      </c>
      <c r="I14" s="1156" t="s">
        <v>18</v>
      </c>
      <c r="J14" s="1070"/>
      <c r="K14" s="1070"/>
      <c r="L14" s="1070"/>
      <c r="M14" s="1070"/>
      <c r="N14" s="1070"/>
      <c r="O14" s="259"/>
    </row>
    <row r="15" spans="1:15" x14ac:dyDescent="0.25">
      <c r="A15" s="1157">
        <v>10</v>
      </c>
      <c r="B15" s="1158" t="s">
        <v>39</v>
      </c>
      <c r="C15" s="1158"/>
      <c r="D15" s="1159">
        <v>1.3</v>
      </c>
      <c r="E15" s="1158" t="s">
        <v>35</v>
      </c>
      <c r="F15" s="1158">
        <v>1</v>
      </c>
      <c r="G15" s="1158" t="s">
        <v>378</v>
      </c>
      <c r="H15" s="1158">
        <v>0.5</v>
      </c>
      <c r="I15" s="1159">
        <f>D15*H15*F15</f>
        <v>0.65</v>
      </c>
      <c r="J15" s="1049"/>
      <c r="K15" s="1049"/>
      <c r="L15" s="1049"/>
      <c r="M15" s="1049"/>
      <c r="N15" s="1049"/>
      <c r="O15" s="259"/>
    </row>
    <row r="16" spans="1:15" x14ac:dyDescent="0.25">
      <c r="A16" s="1157">
        <v>20</v>
      </c>
      <c r="B16" s="1158" t="s">
        <v>334</v>
      </c>
      <c r="C16" s="1158" t="s">
        <v>335</v>
      </c>
      <c r="D16" s="1159">
        <v>0.04</v>
      </c>
      <c r="E16" s="1158" t="s">
        <v>93</v>
      </c>
      <c r="F16" s="1158">
        <v>1.04</v>
      </c>
      <c r="G16" s="1158" t="s">
        <v>339</v>
      </c>
      <c r="H16" s="1158">
        <v>3</v>
      </c>
      <c r="I16" s="1159">
        <f>D16*F16*H16</f>
        <v>0.12480000000000002</v>
      </c>
      <c r="J16" s="1049"/>
      <c r="K16" s="1049"/>
      <c r="L16" s="1049"/>
      <c r="M16" s="1049"/>
      <c r="N16" s="1049"/>
      <c r="O16" s="259"/>
    </row>
    <row r="17" spans="1:15" x14ac:dyDescent="0.25">
      <c r="A17" s="1157">
        <v>30</v>
      </c>
      <c r="B17" s="1090" t="s">
        <v>542</v>
      </c>
      <c r="C17" s="1160" t="s">
        <v>196</v>
      </c>
      <c r="D17" s="1159">
        <v>0.35</v>
      </c>
      <c r="E17" s="1090" t="s">
        <v>198</v>
      </c>
      <c r="F17" s="1090">
        <v>2</v>
      </c>
      <c r="G17" s="1090" t="s">
        <v>543</v>
      </c>
      <c r="H17" s="1161">
        <v>1</v>
      </c>
      <c r="I17" s="1159">
        <f>D17*F17*H17</f>
        <v>0.7</v>
      </c>
      <c r="J17" s="1049"/>
      <c r="K17" s="1049"/>
      <c r="L17" s="1049"/>
      <c r="M17" s="1049"/>
      <c r="N17" s="1049"/>
      <c r="O17" s="259"/>
    </row>
    <row r="18" spans="1:15" ht="14.45" customHeight="1" x14ac:dyDescent="0.25">
      <c r="A18" s="1157">
        <v>40</v>
      </c>
      <c r="B18" s="1083" t="s">
        <v>412</v>
      </c>
      <c r="C18" s="1094" t="s">
        <v>411</v>
      </c>
      <c r="D18" s="1082">
        <v>0.65</v>
      </c>
      <c r="E18" s="1083" t="s">
        <v>32</v>
      </c>
      <c r="F18" s="1095">
        <v>1</v>
      </c>
      <c r="G18" s="1090" t="s">
        <v>378</v>
      </c>
      <c r="H18" s="1158">
        <v>0.5</v>
      </c>
      <c r="I18" s="1093">
        <f t="shared" ref="I18" si="0">D18*F18*H18</f>
        <v>0.32500000000000001</v>
      </c>
      <c r="J18" s="505"/>
      <c r="K18" s="505"/>
      <c r="L18" s="505"/>
      <c r="M18" s="505"/>
      <c r="N18" s="505"/>
      <c r="O18" s="905"/>
    </row>
    <row r="19" spans="1:15" x14ac:dyDescent="0.25">
      <c r="A19" s="1157">
        <v>50</v>
      </c>
      <c r="B19" s="1090" t="s">
        <v>542</v>
      </c>
      <c r="C19" s="1160" t="s">
        <v>196</v>
      </c>
      <c r="D19" s="1159">
        <v>0.35</v>
      </c>
      <c r="E19" s="1090" t="s">
        <v>198</v>
      </c>
      <c r="F19" s="1090">
        <v>2</v>
      </c>
      <c r="G19" s="1090" t="s">
        <v>543</v>
      </c>
      <c r="H19" s="1161">
        <v>1</v>
      </c>
      <c r="I19" s="1159">
        <f>D19*F19*H19</f>
        <v>0.7</v>
      </c>
      <c r="J19" s="1049"/>
      <c r="K19" s="1049"/>
      <c r="L19" s="1049"/>
      <c r="M19" s="1049"/>
      <c r="N19" s="1049"/>
      <c r="O19" s="259"/>
    </row>
    <row r="20" spans="1:15" x14ac:dyDescent="0.25">
      <c r="A20" s="1069"/>
      <c r="B20" s="1070"/>
      <c r="C20" s="1070"/>
      <c r="D20" s="1070"/>
      <c r="E20" s="1070"/>
      <c r="F20" s="1070"/>
      <c r="G20" s="1070"/>
      <c r="H20" s="1071" t="s">
        <v>18</v>
      </c>
      <c r="I20" s="1074">
        <f>I15+I17</f>
        <v>1.35</v>
      </c>
      <c r="J20" s="1070"/>
      <c r="K20" s="1070"/>
      <c r="L20" s="1070"/>
      <c r="M20" s="1070"/>
      <c r="N20" s="1070"/>
      <c r="O20" s="259"/>
    </row>
    <row r="21" spans="1:15" x14ac:dyDescent="0.25">
      <c r="A21" s="1057"/>
      <c r="B21" s="1049"/>
      <c r="C21" s="1049"/>
      <c r="D21" s="1049"/>
      <c r="E21" s="1049"/>
      <c r="F21" s="1049"/>
      <c r="G21" s="1049"/>
      <c r="H21" s="1051"/>
      <c r="I21" s="1053"/>
      <c r="J21" s="1049"/>
      <c r="K21" s="1049"/>
      <c r="L21" s="1049"/>
      <c r="M21" s="1049"/>
      <c r="N21" s="1049"/>
      <c r="O21" s="259"/>
    </row>
    <row r="22" spans="1:15" ht="15.75" thickBot="1" x14ac:dyDescent="0.3">
      <c r="A22" s="1075"/>
      <c r="B22" s="1076"/>
      <c r="C22" s="1076"/>
      <c r="D22" s="1076"/>
      <c r="E22" s="1076"/>
      <c r="F22" s="1076"/>
      <c r="G22" s="1076"/>
      <c r="H22" s="1076"/>
      <c r="I22" s="1076"/>
      <c r="J22" s="1076"/>
      <c r="K22" s="1076"/>
      <c r="L22" s="1076"/>
      <c r="M22" s="1076"/>
      <c r="N22" s="1076"/>
      <c r="O22" s="281"/>
    </row>
    <row r="23" spans="1:15" x14ac:dyDescent="0.25">
      <c r="A23" s="1079"/>
      <c r="B23" s="1079"/>
      <c r="C23" s="1079"/>
      <c r="D23" s="1079"/>
      <c r="E23" s="1079"/>
      <c r="F23" s="1079"/>
      <c r="G23" s="1079"/>
      <c r="H23" s="1079"/>
      <c r="I23" s="1079"/>
      <c r="J23" s="1079"/>
      <c r="K23" s="1079"/>
      <c r="L23" s="1079"/>
      <c r="M23" s="1079"/>
      <c r="N23" s="1079"/>
    </row>
    <row r="24" spans="1:15" x14ac:dyDescent="0.25">
      <c r="A24" s="1079"/>
      <c r="B24" s="1079"/>
      <c r="C24" s="1079"/>
      <c r="D24" s="1079"/>
      <c r="E24" s="1079"/>
      <c r="F24" s="1079"/>
      <c r="G24" s="1079"/>
      <c r="H24" s="1079"/>
      <c r="I24" s="1079"/>
      <c r="J24" s="1079"/>
      <c r="K24" s="1079"/>
      <c r="L24" s="1079"/>
      <c r="M24" s="1079"/>
      <c r="N24" s="1079"/>
    </row>
    <row r="25" spans="1:15" x14ac:dyDescent="0.25">
      <c r="A25" s="1079"/>
      <c r="B25" s="1079"/>
      <c r="C25" s="1079"/>
      <c r="D25" s="1079"/>
      <c r="E25" s="1079"/>
      <c r="F25" s="1079"/>
      <c r="G25" s="1079"/>
      <c r="H25" s="1079"/>
      <c r="I25" s="1079"/>
      <c r="J25" s="1079"/>
      <c r="K25" s="1079"/>
      <c r="L25" s="1079"/>
      <c r="M25" s="1079"/>
      <c r="N25" s="1079"/>
    </row>
    <row r="26" spans="1:15" x14ac:dyDescent="0.25">
      <c r="A26" s="16"/>
      <c r="B26" s="1079"/>
      <c r="C26" s="1079"/>
      <c r="D26" s="1079"/>
      <c r="E26" s="1079"/>
      <c r="F26" s="1079"/>
      <c r="G26" s="1079"/>
      <c r="H26" s="1079"/>
      <c r="I26" s="1079"/>
      <c r="J26" s="1079"/>
      <c r="K26" s="1079"/>
      <c r="L26" s="1079"/>
      <c r="M26" s="1079"/>
      <c r="N26" s="1079"/>
    </row>
    <row r="27" spans="1:15" x14ac:dyDescent="0.25">
      <c r="A27" s="16"/>
      <c r="B27" s="1079"/>
      <c r="C27" s="1079"/>
      <c r="D27" s="1079"/>
      <c r="E27" s="1079"/>
      <c r="F27" s="1079"/>
      <c r="G27" s="1079"/>
      <c r="H27" s="1079"/>
      <c r="I27" s="1079"/>
      <c r="J27" s="1079"/>
      <c r="K27" s="1079"/>
      <c r="L27" s="1079"/>
      <c r="M27" s="1079"/>
      <c r="N27" s="1079"/>
    </row>
    <row r="28" spans="1:15" x14ac:dyDescent="0.25">
      <c r="A28" s="87"/>
      <c r="B28" s="1079"/>
      <c r="C28" s="1079"/>
      <c r="D28" s="1079"/>
      <c r="E28" s="1079"/>
      <c r="F28" s="1079"/>
      <c r="G28" s="1079"/>
      <c r="H28" s="1079"/>
      <c r="I28" s="1079"/>
      <c r="J28" s="1079"/>
      <c r="K28" s="1079"/>
      <c r="L28" s="1079"/>
      <c r="M28" s="1079"/>
      <c r="N28" s="1079"/>
    </row>
    <row r="29" spans="1:15" x14ac:dyDescent="0.25">
      <c r="A29" s="18"/>
      <c r="B29" s="1079"/>
      <c r="C29" s="1079"/>
      <c r="D29" s="1079"/>
      <c r="E29" s="1079"/>
      <c r="F29" s="1079"/>
      <c r="G29" s="1079"/>
      <c r="H29" s="1079"/>
      <c r="I29" s="1079"/>
      <c r="J29" s="1079"/>
      <c r="K29" s="1079"/>
      <c r="L29" s="1079"/>
      <c r="M29" s="1079"/>
      <c r="N29" s="1079"/>
    </row>
    <row r="30" spans="1:15" x14ac:dyDescent="0.25">
      <c r="A30" s="28"/>
      <c r="B30" s="1079"/>
      <c r="C30" s="1079"/>
      <c r="D30" s="1079"/>
      <c r="E30" s="1079"/>
      <c r="F30" s="1079"/>
      <c r="G30" s="1079"/>
      <c r="H30" s="1079"/>
      <c r="I30" s="1079"/>
      <c r="J30" s="1079"/>
      <c r="K30" s="1079"/>
      <c r="L30" s="1079"/>
      <c r="M30" s="1079"/>
      <c r="N30" s="1079"/>
    </row>
    <row r="31" spans="1:15" x14ac:dyDescent="0.25">
      <c r="A31" s="16"/>
      <c r="B31" s="1079"/>
      <c r="C31" s="1079"/>
      <c r="D31" s="1079"/>
      <c r="E31" s="1079"/>
      <c r="F31" s="1079"/>
      <c r="G31" s="1079"/>
      <c r="H31" s="1079"/>
      <c r="I31" s="1079"/>
      <c r="J31" s="1079"/>
      <c r="K31" s="1079"/>
      <c r="L31" s="1079"/>
      <c r="M31" s="1079"/>
      <c r="N31" s="1079"/>
    </row>
    <row r="32" spans="1:15" x14ac:dyDescent="0.25">
      <c r="A32" s="16"/>
      <c r="B32" s="1079"/>
      <c r="C32" s="1079"/>
      <c r="D32" s="1079"/>
      <c r="E32" s="1079"/>
      <c r="F32" s="1079"/>
      <c r="G32" s="1079"/>
      <c r="H32" s="1079"/>
      <c r="I32" s="1079"/>
      <c r="J32" s="1079"/>
      <c r="K32" s="1079"/>
      <c r="L32" s="1079"/>
      <c r="M32" s="1079"/>
      <c r="N32" s="1079"/>
    </row>
    <row r="33" spans="1:14" x14ac:dyDescent="0.25">
      <c r="A33" s="1079"/>
      <c r="B33" s="1079"/>
      <c r="C33" s="1079"/>
      <c r="D33" s="1079"/>
      <c r="E33" s="1079"/>
      <c r="F33" s="1079"/>
      <c r="G33" s="1079"/>
      <c r="H33" s="1079"/>
      <c r="I33" s="1079"/>
      <c r="J33" s="1079"/>
      <c r="K33" s="1079"/>
      <c r="L33" s="1079"/>
      <c r="M33" s="1079"/>
      <c r="N33" s="1079"/>
    </row>
    <row r="34" spans="1:14" x14ac:dyDescent="0.25">
      <c r="A34" s="1079"/>
      <c r="B34" s="1079"/>
      <c r="C34" s="1079"/>
      <c r="D34" s="1079"/>
      <c r="E34" s="1079"/>
      <c r="F34" s="1079"/>
      <c r="G34" s="1079"/>
      <c r="H34" s="1079"/>
      <c r="I34" s="1079"/>
      <c r="J34" s="1079"/>
      <c r="K34" s="1079"/>
      <c r="L34" s="1079"/>
      <c r="M34" s="1079"/>
      <c r="N34" s="1079"/>
    </row>
    <row r="35" spans="1:14" x14ac:dyDescent="0.25">
      <c r="A35" s="1079"/>
      <c r="B35" s="1079"/>
      <c r="C35" s="1079"/>
      <c r="D35" s="1079"/>
      <c r="E35" s="1079"/>
      <c r="F35" s="1079"/>
      <c r="G35" s="1079"/>
      <c r="H35" s="1079"/>
      <c r="I35" s="1079"/>
      <c r="J35" s="1079"/>
      <c r="K35" s="1079"/>
      <c r="L35" s="1079"/>
      <c r="M35" s="1079"/>
      <c r="N35" s="1079"/>
    </row>
    <row r="36" spans="1:14" x14ac:dyDescent="0.25">
      <c r="A36" s="1079"/>
      <c r="B36" s="1079"/>
      <c r="C36" s="1079"/>
      <c r="D36" s="1079"/>
      <c r="E36" s="1079"/>
      <c r="F36" s="1079"/>
      <c r="G36" s="1079"/>
      <c r="H36" s="1079"/>
      <c r="I36" s="1079"/>
      <c r="J36" s="1079"/>
      <c r="K36" s="1079"/>
      <c r="L36" s="1079"/>
      <c r="M36" s="1079"/>
      <c r="N36" s="1079"/>
    </row>
    <row r="37" spans="1:14" x14ac:dyDescent="0.25">
      <c r="A37" s="1079"/>
      <c r="B37" s="1079"/>
      <c r="C37" s="1079"/>
      <c r="D37" s="1079"/>
      <c r="E37" s="1079"/>
      <c r="F37" s="1079"/>
      <c r="G37" s="1079"/>
      <c r="H37" s="1079"/>
      <c r="I37" s="1079"/>
      <c r="J37" s="1079"/>
      <c r="K37" s="1079"/>
      <c r="L37" s="1079"/>
      <c r="M37" s="1079"/>
      <c r="N37" s="1079"/>
    </row>
    <row r="38" spans="1:14" x14ac:dyDescent="0.25">
      <c r="A38" s="1079"/>
      <c r="B38" s="1079"/>
      <c r="C38" s="1079"/>
      <c r="D38" s="1079"/>
      <c r="E38" s="1079"/>
      <c r="F38" s="1079"/>
      <c r="G38" s="1079"/>
      <c r="H38" s="1079"/>
      <c r="I38" s="1079"/>
      <c r="J38" s="1079"/>
      <c r="K38" s="1079"/>
      <c r="L38" s="1079"/>
      <c r="M38" s="1079"/>
      <c r="N38" s="1079"/>
    </row>
    <row r="39" spans="1:14" x14ac:dyDescent="0.25">
      <c r="A39" s="1079"/>
      <c r="B39" s="1079"/>
      <c r="C39" s="1079"/>
      <c r="D39" s="1079"/>
      <c r="E39" s="1079"/>
      <c r="F39" s="1079"/>
      <c r="G39" s="1079"/>
      <c r="H39" s="1079"/>
      <c r="I39" s="1079"/>
      <c r="J39" s="1079"/>
      <c r="K39" s="1079"/>
      <c r="L39" s="1079"/>
      <c r="M39" s="1079"/>
      <c r="N39" s="1079"/>
    </row>
    <row r="40" spans="1:14" x14ac:dyDescent="0.25">
      <c r="A40" s="1079"/>
      <c r="B40" s="1079"/>
      <c r="C40" s="1079"/>
      <c r="D40" s="1079"/>
      <c r="E40" s="1079"/>
      <c r="F40" s="1079"/>
      <c r="G40" s="1079"/>
      <c r="H40" s="1079"/>
      <c r="I40" s="1079"/>
      <c r="J40" s="1079"/>
      <c r="K40" s="1079"/>
      <c r="L40" s="1079"/>
      <c r="M40" s="1079"/>
      <c r="N40" s="1079"/>
    </row>
    <row r="41" spans="1:14" x14ac:dyDescent="0.25">
      <c r="A41" s="1079"/>
      <c r="B41" s="1079"/>
      <c r="C41" s="1079"/>
      <c r="D41" s="1079"/>
      <c r="E41" s="1079"/>
      <c r="F41" s="1079"/>
      <c r="G41" s="1079"/>
      <c r="H41" s="1079"/>
      <c r="I41" s="1079"/>
      <c r="J41" s="1079"/>
      <c r="K41" s="1079"/>
      <c r="L41" s="1079"/>
      <c r="M41" s="1079"/>
      <c r="N41" s="1079"/>
    </row>
    <row r="42" spans="1:14" x14ac:dyDescent="0.25">
      <c r="A42" s="1079"/>
      <c r="B42" s="1079"/>
      <c r="C42" s="1079"/>
      <c r="D42" s="1079"/>
      <c r="E42" s="1079"/>
      <c r="F42" s="1079"/>
      <c r="G42" s="1079"/>
      <c r="H42" s="1079"/>
      <c r="I42" s="1079"/>
      <c r="J42" s="1079"/>
      <c r="K42" s="1079"/>
      <c r="L42" s="1079"/>
      <c r="M42" s="1079"/>
      <c r="N42" s="1079"/>
    </row>
    <row r="43" spans="1:14" x14ac:dyDescent="0.25">
      <c r="A43" s="1079"/>
      <c r="B43" s="1079"/>
      <c r="C43" s="1079"/>
      <c r="D43" s="1079"/>
      <c r="E43" s="1079"/>
      <c r="F43" s="1079"/>
      <c r="G43" s="1079"/>
      <c r="H43" s="1079"/>
      <c r="I43" s="1079"/>
      <c r="J43" s="1079"/>
      <c r="K43" s="1079"/>
      <c r="L43" s="1079"/>
      <c r="M43" s="1079"/>
      <c r="N43" s="1079"/>
    </row>
    <row r="44" spans="1:14" x14ac:dyDescent="0.25">
      <c r="A44" s="1079"/>
      <c r="B44" s="1079"/>
      <c r="C44" s="1079"/>
      <c r="D44" s="1079"/>
      <c r="E44" s="1079"/>
      <c r="F44" s="1079"/>
      <c r="G44" s="1079"/>
      <c r="H44" s="1079"/>
      <c r="I44" s="1079"/>
      <c r="J44" s="1079"/>
      <c r="K44" s="1079"/>
      <c r="L44" s="1079"/>
      <c r="M44" s="1079"/>
      <c r="N44" s="1079"/>
    </row>
    <row r="45" spans="1:14" x14ac:dyDescent="0.25">
      <c r="A45" s="1079"/>
      <c r="B45" s="1079"/>
      <c r="C45" s="1079"/>
      <c r="D45" s="1079"/>
      <c r="E45" s="1079"/>
      <c r="F45" s="1079"/>
      <c r="G45" s="1079"/>
      <c r="H45" s="1079"/>
      <c r="I45" s="1079"/>
      <c r="J45" s="1079"/>
      <c r="K45" s="1079"/>
      <c r="L45" s="1079"/>
      <c r="M45" s="1079"/>
      <c r="N45" s="1079"/>
    </row>
    <row r="46" spans="1:14" x14ac:dyDescent="0.25">
      <c r="A46" s="1079"/>
      <c r="B46" s="1079"/>
      <c r="C46" s="1079"/>
      <c r="D46" s="1079"/>
      <c r="E46" s="1079"/>
      <c r="F46" s="1079"/>
      <c r="G46" s="1079"/>
      <c r="H46" s="1079"/>
      <c r="I46" s="1079"/>
      <c r="J46" s="1079"/>
      <c r="K46" s="1079"/>
      <c r="L46" s="1079"/>
      <c r="M46" s="1079"/>
      <c r="N46" s="1079"/>
    </row>
    <row r="47" spans="1:14" x14ac:dyDescent="0.25">
      <c r="A47" s="1079"/>
      <c r="B47" s="1079"/>
      <c r="C47" s="1079"/>
      <c r="D47" s="1079"/>
      <c r="E47" s="1079"/>
      <c r="F47" s="1079"/>
      <c r="G47" s="1079"/>
      <c r="H47" s="1079"/>
      <c r="I47" s="1079"/>
      <c r="J47" s="1079"/>
      <c r="K47" s="1079"/>
      <c r="L47" s="1079"/>
      <c r="M47" s="1079"/>
      <c r="N47" s="1079"/>
    </row>
    <row r="48" spans="1:14" x14ac:dyDescent="0.25">
      <c r="A48" s="1079"/>
      <c r="B48" s="1079"/>
      <c r="C48" s="1079"/>
      <c r="D48" s="1079"/>
      <c r="E48" s="1079"/>
      <c r="F48" s="1079"/>
      <c r="G48" s="1079"/>
      <c r="H48" s="1079"/>
      <c r="I48" s="1079"/>
      <c r="J48" s="1079"/>
      <c r="K48" s="1079"/>
      <c r="L48" s="1079"/>
      <c r="M48" s="1079"/>
      <c r="N48" s="1079"/>
    </row>
    <row r="49" spans="1:14" x14ac:dyDescent="0.25">
      <c r="A49" s="1079"/>
      <c r="B49" s="1079"/>
      <c r="C49" s="1079"/>
      <c r="D49" s="1079"/>
      <c r="E49" s="1079"/>
      <c r="F49" s="1079"/>
      <c r="G49" s="1079"/>
      <c r="H49" s="1079"/>
      <c r="I49" s="1079"/>
      <c r="J49" s="1079"/>
      <c r="K49" s="1079"/>
      <c r="L49" s="1079"/>
      <c r="M49" s="1079"/>
      <c r="N49" s="1079"/>
    </row>
    <row r="50" spans="1:14" x14ac:dyDescent="0.25">
      <c r="A50" s="1079"/>
      <c r="B50" s="1079"/>
      <c r="C50" s="1079"/>
      <c r="D50" s="1079"/>
      <c r="E50" s="1079"/>
      <c r="F50" s="1079"/>
      <c r="G50" s="1079"/>
      <c r="H50" s="1079"/>
      <c r="I50" s="1079"/>
      <c r="J50" s="1079"/>
      <c r="K50" s="1079"/>
      <c r="L50" s="1079"/>
      <c r="M50" s="1079"/>
      <c r="N50" s="1079"/>
    </row>
    <row r="51" spans="1:14" x14ac:dyDescent="0.25">
      <c r="A51" s="1079"/>
      <c r="B51" s="1079"/>
      <c r="C51" s="1079"/>
      <c r="D51" s="1079"/>
      <c r="E51" s="1079"/>
      <c r="F51" s="1079"/>
      <c r="G51" s="1079"/>
      <c r="H51" s="1079"/>
      <c r="I51" s="1079"/>
      <c r="J51" s="1079"/>
      <c r="K51" s="1079"/>
      <c r="L51" s="1079"/>
      <c r="M51" s="1079"/>
      <c r="N51" s="1079"/>
    </row>
    <row r="52" spans="1:14" x14ac:dyDescent="0.25">
      <c r="A52" s="1079"/>
      <c r="B52" s="1079"/>
      <c r="C52" s="1079"/>
      <c r="D52" s="1079"/>
      <c r="E52" s="1079"/>
      <c r="F52" s="1079"/>
      <c r="G52" s="1079"/>
      <c r="H52" s="1079"/>
      <c r="I52" s="1079"/>
      <c r="J52" s="1079"/>
      <c r="K52" s="1079"/>
      <c r="L52" s="1079"/>
      <c r="M52" s="1079"/>
      <c r="N52" s="1079"/>
    </row>
    <row r="53" spans="1:14" x14ac:dyDescent="0.25">
      <c r="A53" s="1079"/>
      <c r="B53" s="1079"/>
      <c r="C53" s="1079"/>
      <c r="D53" s="1079"/>
      <c r="E53" s="1079"/>
      <c r="F53" s="1079"/>
      <c r="G53" s="1079"/>
      <c r="H53" s="1079"/>
      <c r="I53" s="1079"/>
      <c r="J53" s="1079"/>
      <c r="K53" s="1079"/>
      <c r="L53" s="1079"/>
      <c r="M53" s="1079"/>
      <c r="N53" s="1079"/>
    </row>
    <row r="54" spans="1:14" x14ac:dyDescent="0.25">
      <c r="A54" s="1079"/>
      <c r="B54" s="1079"/>
      <c r="C54" s="1079"/>
      <c r="D54" s="1079"/>
      <c r="E54" s="1079"/>
      <c r="F54" s="1079"/>
      <c r="G54" s="1079"/>
      <c r="H54" s="1079"/>
      <c r="I54" s="1079"/>
      <c r="J54" s="1079"/>
      <c r="K54" s="1079"/>
      <c r="L54" s="1079"/>
      <c r="M54" s="1079"/>
      <c r="N54" s="1079"/>
    </row>
    <row r="55" spans="1:14" x14ac:dyDescent="0.25">
      <c r="A55" s="1079"/>
      <c r="B55" s="1079"/>
      <c r="C55" s="1079"/>
      <c r="D55" s="1079"/>
      <c r="E55" s="1079"/>
      <c r="F55" s="1079"/>
      <c r="G55" s="1079"/>
      <c r="H55" s="1079"/>
      <c r="I55" s="1079"/>
      <c r="J55" s="1079"/>
      <c r="K55" s="1079"/>
      <c r="L55" s="1079"/>
      <c r="M55" s="1079"/>
      <c r="N55" s="1079"/>
    </row>
    <row r="56" spans="1:14" x14ac:dyDescent="0.25">
      <c r="A56" s="1079"/>
      <c r="B56" s="1079"/>
      <c r="C56" s="1079"/>
      <c r="D56" s="1079"/>
      <c r="E56" s="1079"/>
      <c r="F56" s="1079"/>
      <c r="G56" s="1079"/>
      <c r="H56" s="1079"/>
      <c r="I56" s="1079"/>
      <c r="J56" s="1079"/>
      <c r="K56" s="1079"/>
      <c r="L56" s="1079"/>
      <c r="M56" s="1079"/>
      <c r="N56" s="1079"/>
    </row>
    <row r="57" spans="1:14" x14ac:dyDescent="0.25">
      <c r="A57" s="1079"/>
      <c r="B57" s="1079"/>
      <c r="C57" s="1079"/>
      <c r="D57" s="1079"/>
      <c r="E57" s="1079"/>
      <c r="F57" s="1079"/>
      <c r="G57" s="1079"/>
      <c r="H57" s="1079"/>
      <c r="I57" s="1079"/>
      <c r="J57" s="1079"/>
      <c r="K57" s="1079"/>
      <c r="L57" s="1079"/>
      <c r="M57" s="1079"/>
      <c r="N57" s="1079"/>
    </row>
    <row r="58" spans="1:14" x14ac:dyDescent="0.25">
      <c r="A58" s="1079"/>
      <c r="B58" s="1079"/>
      <c r="C58" s="1079"/>
      <c r="D58" s="1079"/>
      <c r="E58" s="1079"/>
      <c r="F58" s="1079"/>
      <c r="G58" s="1079"/>
      <c r="H58" s="1079"/>
      <c r="I58" s="1079"/>
      <c r="J58" s="1079"/>
      <c r="K58" s="1079"/>
      <c r="L58" s="1079"/>
      <c r="M58" s="1079"/>
      <c r="N58" s="1079"/>
    </row>
    <row r="59" spans="1:14" x14ac:dyDescent="0.25">
      <c r="A59" s="1079"/>
      <c r="B59" s="1079"/>
      <c r="C59" s="1079"/>
      <c r="D59" s="1079"/>
      <c r="E59" s="1079"/>
      <c r="F59" s="1079"/>
      <c r="G59" s="1079"/>
      <c r="H59" s="1079"/>
      <c r="I59" s="1079"/>
      <c r="J59" s="1079"/>
      <c r="K59" s="1079"/>
      <c r="L59" s="1079"/>
      <c r="M59" s="1079"/>
      <c r="N59" s="1079"/>
    </row>
    <row r="60" spans="1:14" x14ac:dyDescent="0.25">
      <c r="A60" s="1079"/>
      <c r="B60" s="1079"/>
      <c r="C60" s="1079"/>
      <c r="D60" s="1079"/>
      <c r="E60" s="1079"/>
      <c r="F60" s="1079"/>
      <c r="G60" s="1079"/>
      <c r="H60" s="1079"/>
      <c r="I60" s="1079"/>
      <c r="J60" s="1079"/>
      <c r="K60" s="1079"/>
      <c r="L60" s="1079"/>
      <c r="M60" s="1079"/>
      <c r="N60" s="1079"/>
    </row>
    <row r="61" spans="1:14" x14ac:dyDescent="0.25">
      <c r="A61" s="1079"/>
      <c r="B61" s="1079"/>
      <c r="C61" s="1079"/>
      <c r="D61" s="1079"/>
      <c r="E61" s="1079"/>
      <c r="F61" s="1079"/>
      <c r="G61" s="1079"/>
      <c r="H61" s="1079"/>
      <c r="I61" s="1079"/>
      <c r="J61" s="1079"/>
      <c r="K61" s="1079"/>
      <c r="L61" s="1079"/>
      <c r="M61" s="1079"/>
      <c r="N61" s="1079"/>
    </row>
    <row r="62" spans="1:14" x14ac:dyDescent="0.25">
      <c r="A62" s="1079"/>
      <c r="B62" s="1079"/>
      <c r="C62" s="1079"/>
      <c r="D62" s="1079"/>
      <c r="E62" s="1079"/>
      <c r="F62" s="1079"/>
      <c r="G62" s="1079"/>
      <c r="H62" s="1079"/>
      <c r="I62" s="1079"/>
      <c r="J62" s="1079"/>
      <c r="K62" s="1079"/>
      <c r="L62" s="1079"/>
      <c r="M62" s="1079"/>
      <c r="N62" s="1079"/>
    </row>
    <row r="63" spans="1:14" x14ac:dyDescent="0.25">
      <c r="A63" s="1079"/>
      <c r="B63" s="1079"/>
      <c r="C63" s="1079"/>
      <c r="D63" s="1079"/>
      <c r="E63" s="1079"/>
      <c r="F63" s="1079"/>
      <c r="G63" s="1079"/>
      <c r="H63" s="1079"/>
      <c r="I63" s="1079"/>
      <c r="J63" s="1079"/>
      <c r="K63" s="1079"/>
      <c r="L63" s="1079"/>
      <c r="M63" s="1079"/>
      <c r="N63" s="1079"/>
    </row>
    <row r="64" spans="1:14" x14ac:dyDescent="0.25">
      <c r="A64" s="1079"/>
      <c r="B64" s="1079"/>
      <c r="C64" s="1079"/>
      <c r="D64" s="1079"/>
      <c r="E64" s="1079"/>
      <c r="F64" s="1079"/>
      <c r="G64" s="1079"/>
      <c r="H64" s="1079"/>
      <c r="I64" s="1079"/>
      <c r="J64" s="1079"/>
      <c r="K64" s="1079"/>
      <c r="L64" s="1079"/>
      <c r="M64" s="1079"/>
      <c r="N64" s="1079"/>
    </row>
    <row r="65" spans="1:14" x14ac:dyDescent="0.25">
      <c r="A65" s="1079"/>
      <c r="B65" s="1079"/>
      <c r="C65" s="1079"/>
      <c r="D65" s="1079"/>
      <c r="E65" s="1079"/>
      <c r="F65" s="1079"/>
      <c r="G65" s="1079"/>
      <c r="H65" s="1079"/>
      <c r="I65" s="1079"/>
      <c r="J65" s="1079"/>
      <c r="K65" s="1079"/>
      <c r="L65" s="1079"/>
      <c r="M65" s="1079"/>
      <c r="N65" s="1079"/>
    </row>
    <row r="66" spans="1:14" x14ac:dyDescent="0.25">
      <c r="A66" s="1079"/>
      <c r="B66" s="1079"/>
      <c r="C66" s="1079"/>
      <c r="D66" s="1079"/>
      <c r="E66" s="1079"/>
      <c r="F66" s="1079"/>
      <c r="G66" s="1079"/>
      <c r="H66" s="1079"/>
      <c r="I66" s="1079"/>
      <c r="J66" s="1079"/>
      <c r="K66" s="1079"/>
      <c r="L66" s="1079"/>
      <c r="M66" s="1079"/>
      <c r="N66" s="1079"/>
    </row>
    <row r="67" spans="1:14" x14ac:dyDescent="0.25">
      <c r="A67" s="1079"/>
      <c r="B67" s="1079"/>
      <c r="C67" s="1079"/>
      <c r="D67" s="1079"/>
      <c r="E67" s="1079"/>
      <c r="F67" s="1079"/>
      <c r="G67" s="1079"/>
      <c r="H67" s="1079"/>
      <c r="I67" s="1079"/>
      <c r="J67" s="1079"/>
      <c r="K67" s="1079"/>
      <c r="L67" s="1079"/>
      <c r="M67" s="1079"/>
      <c r="N67" s="1079"/>
    </row>
    <row r="68" spans="1:14" x14ac:dyDescent="0.25">
      <c r="A68" s="1079"/>
      <c r="B68" s="1079"/>
      <c r="C68" s="1079"/>
      <c r="D68" s="1079"/>
      <c r="E68" s="1079"/>
      <c r="F68" s="1079"/>
      <c r="G68" s="1079"/>
      <c r="H68" s="1079"/>
      <c r="I68" s="1079"/>
      <c r="J68" s="1079"/>
      <c r="K68" s="1079"/>
      <c r="L68" s="1079"/>
      <c r="M68" s="1079"/>
      <c r="N68" s="1079"/>
    </row>
    <row r="69" spans="1:14" x14ac:dyDescent="0.25">
      <c r="A69" s="1079"/>
      <c r="B69" s="1079"/>
      <c r="C69" s="1079"/>
      <c r="D69" s="1079"/>
      <c r="E69" s="1079"/>
      <c r="F69" s="1079"/>
      <c r="G69" s="1079"/>
      <c r="H69" s="1079"/>
      <c r="I69" s="1079"/>
      <c r="J69" s="1079"/>
      <c r="K69" s="1079"/>
      <c r="L69" s="1079"/>
      <c r="M69" s="1079"/>
      <c r="N69" s="1079"/>
    </row>
    <row r="70" spans="1:14" x14ac:dyDescent="0.25">
      <c r="A70" s="1079"/>
      <c r="B70" s="1079"/>
      <c r="C70" s="1079"/>
      <c r="D70" s="1079"/>
      <c r="E70" s="1079"/>
      <c r="F70" s="1079"/>
      <c r="G70" s="1079"/>
      <c r="H70" s="1079"/>
      <c r="I70" s="1079"/>
      <c r="J70" s="1079"/>
      <c r="K70" s="1079"/>
      <c r="L70" s="1079"/>
      <c r="M70" s="1079"/>
      <c r="N70" s="1079"/>
    </row>
    <row r="71" spans="1:14" x14ac:dyDescent="0.25">
      <c r="A71" s="1079"/>
      <c r="B71" s="1079"/>
      <c r="C71" s="1079"/>
      <c r="D71" s="1079"/>
      <c r="E71" s="1079"/>
      <c r="F71" s="1079"/>
      <c r="G71" s="1079"/>
      <c r="H71" s="1079"/>
      <c r="I71" s="1079"/>
      <c r="J71" s="1079"/>
      <c r="K71" s="1079"/>
      <c r="L71" s="1079"/>
      <c r="M71" s="1079"/>
      <c r="N71" s="1079"/>
    </row>
    <row r="72" spans="1:14" x14ac:dyDescent="0.25">
      <c r="A72" s="1079"/>
      <c r="B72" s="1079"/>
      <c r="C72" s="1079"/>
      <c r="D72" s="1079"/>
      <c r="E72" s="1079"/>
      <c r="F72" s="1079"/>
      <c r="G72" s="1079"/>
      <c r="H72" s="1079"/>
      <c r="I72" s="1079"/>
      <c r="J72" s="1079"/>
      <c r="K72" s="1079"/>
      <c r="L72" s="1079"/>
      <c r="M72" s="1079"/>
      <c r="N72" s="1079"/>
    </row>
    <row r="73" spans="1:14" x14ac:dyDescent="0.25">
      <c r="A73" s="1079"/>
      <c r="B73" s="1079"/>
      <c r="C73" s="1079"/>
      <c r="D73" s="1079"/>
      <c r="E73" s="1079"/>
      <c r="F73" s="1079"/>
      <c r="G73" s="1079"/>
      <c r="H73" s="1079"/>
      <c r="I73" s="1079"/>
      <c r="J73" s="1079"/>
      <c r="K73" s="1079"/>
      <c r="L73" s="1079"/>
      <c r="M73" s="1079"/>
      <c r="N73" s="1079"/>
    </row>
    <row r="74" spans="1:14" x14ac:dyDescent="0.25">
      <c r="A74" s="1079"/>
      <c r="B74" s="1079"/>
      <c r="C74" s="1079"/>
      <c r="D74" s="1079"/>
      <c r="E74" s="1079"/>
      <c r="F74" s="1079"/>
      <c r="G74" s="1079"/>
      <c r="H74" s="1079"/>
      <c r="I74" s="1079"/>
      <c r="J74" s="1079"/>
      <c r="K74" s="1079"/>
      <c r="L74" s="1079"/>
      <c r="M74" s="1079"/>
      <c r="N74" s="1079"/>
    </row>
    <row r="75" spans="1:14" x14ac:dyDescent="0.25">
      <c r="A75" s="1079"/>
      <c r="B75" s="1079"/>
      <c r="C75" s="1079"/>
      <c r="D75" s="1079"/>
      <c r="E75" s="1079"/>
      <c r="F75" s="1079"/>
      <c r="G75" s="1079"/>
      <c r="H75" s="1079"/>
      <c r="I75" s="1079"/>
      <c r="J75" s="1079"/>
      <c r="K75" s="1079"/>
      <c r="L75" s="1079"/>
      <c r="M75" s="1079"/>
      <c r="N75" s="1079"/>
    </row>
    <row r="76" spans="1:14" x14ac:dyDescent="0.25">
      <c r="A76" s="1079"/>
      <c r="B76" s="1079"/>
      <c r="C76" s="1079"/>
      <c r="D76" s="1079"/>
      <c r="E76" s="1079"/>
      <c r="F76" s="1079"/>
      <c r="G76" s="1079"/>
      <c r="H76" s="1079"/>
      <c r="I76" s="1079"/>
      <c r="J76" s="1079"/>
      <c r="K76" s="1079"/>
      <c r="L76" s="1079"/>
      <c r="M76" s="1079"/>
      <c r="N76" s="1079"/>
    </row>
    <row r="77" spans="1:14" x14ac:dyDescent="0.25">
      <c r="A77" s="1079"/>
      <c r="B77" s="1079"/>
      <c r="C77" s="1079"/>
      <c r="D77" s="1079"/>
      <c r="E77" s="1079"/>
      <c r="F77" s="1079"/>
      <c r="G77" s="1079"/>
      <c r="H77" s="1079"/>
      <c r="I77" s="1079"/>
      <c r="J77" s="1079"/>
      <c r="K77" s="1079"/>
      <c r="L77" s="1079"/>
      <c r="M77" s="1079"/>
      <c r="N77" s="1079"/>
    </row>
    <row r="78" spans="1:14" x14ac:dyDescent="0.25">
      <c r="A78" s="1079"/>
      <c r="B78" s="1079"/>
      <c r="C78" s="1079"/>
      <c r="D78" s="1079"/>
      <c r="E78" s="1079"/>
      <c r="F78" s="1079"/>
      <c r="G78" s="1079"/>
      <c r="H78" s="1079"/>
      <c r="I78" s="1079"/>
      <c r="J78" s="1079"/>
      <c r="K78" s="1079"/>
      <c r="L78" s="1079"/>
      <c r="M78" s="1079"/>
      <c r="N78" s="1079"/>
    </row>
    <row r="79" spans="1:14" x14ac:dyDescent="0.25">
      <c r="A79" s="1079"/>
      <c r="B79" s="1079"/>
      <c r="C79" s="1079"/>
      <c r="D79" s="1079"/>
      <c r="E79" s="1079"/>
      <c r="F79" s="1079"/>
      <c r="G79" s="1079"/>
      <c r="H79" s="1079"/>
      <c r="I79" s="1079"/>
      <c r="J79" s="1079"/>
      <c r="K79" s="1079"/>
      <c r="L79" s="1079"/>
      <c r="M79" s="1079"/>
      <c r="N79" s="1079"/>
    </row>
    <row r="80" spans="1:14" x14ac:dyDescent="0.25">
      <c r="A80" s="1079"/>
      <c r="B80" s="1079"/>
      <c r="C80" s="1079"/>
      <c r="D80" s="1079"/>
      <c r="E80" s="1079"/>
      <c r="F80" s="1079"/>
      <c r="G80" s="1079"/>
      <c r="H80" s="1079"/>
      <c r="I80" s="1079"/>
      <c r="J80" s="1079"/>
      <c r="K80" s="1079"/>
      <c r="L80" s="1079"/>
      <c r="M80" s="1079"/>
      <c r="N80" s="1079"/>
    </row>
    <row r="81" spans="1:14" x14ac:dyDescent="0.25">
      <c r="A81" s="1079"/>
      <c r="B81" s="1079"/>
      <c r="C81" s="1079"/>
      <c r="D81" s="1079"/>
      <c r="E81" s="1079"/>
      <c r="F81" s="1079"/>
      <c r="G81" s="1079"/>
      <c r="H81" s="1079"/>
      <c r="I81" s="1079"/>
      <c r="J81" s="1079"/>
      <c r="K81" s="1079"/>
      <c r="L81" s="1079"/>
      <c r="M81" s="1079"/>
      <c r="N81" s="1079"/>
    </row>
    <row r="82" spans="1:14" x14ac:dyDescent="0.25">
      <c r="A82" s="1079"/>
      <c r="B82" s="1079"/>
      <c r="C82" s="1079"/>
      <c r="D82" s="1079"/>
      <c r="E82" s="1079"/>
      <c r="F82" s="1079"/>
      <c r="G82" s="1079"/>
      <c r="H82" s="1079"/>
      <c r="I82" s="1079"/>
      <c r="J82" s="1079"/>
      <c r="K82" s="1079"/>
      <c r="L82" s="1079"/>
      <c r="M82" s="1079"/>
      <c r="N82" s="1079"/>
    </row>
    <row r="83" spans="1:14" x14ac:dyDescent="0.25">
      <c r="A83" s="1079"/>
      <c r="B83" s="1079"/>
      <c r="C83" s="1079"/>
      <c r="D83" s="1079"/>
      <c r="E83" s="1079"/>
      <c r="F83" s="1079"/>
      <c r="G83" s="1079"/>
      <c r="H83" s="1079"/>
      <c r="I83" s="1079"/>
      <c r="J83" s="1079"/>
      <c r="K83" s="1079"/>
      <c r="L83" s="1079"/>
      <c r="M83" s="1079"/>
      <c r="N83" s="1079"/>
    </row>
    <row r="84" spans="1:14" x14ac:dyDescent="0.25">
      <c r="A84" s="1079"/>
      <c r="B84" s="1079"/>
      <c r="C84" s="1079"/>
      <c r="D84" s="1079"/>
      <c r="E84" s="1079"/>
      <c r="F84" s="1079"/>
      <c r="G84" s="1079"/>
      <c r="H84" s="1079"/>
      <c r="I84" s="1079"/>
      <c r="J84" s="1079"/>
      <c r="K84" s="1079"/>
      <c r="L84" s="1079"/>
      <c r="M84" s="1079"/>
      <c r="N84" s="1079"/>
    </row>
    <row r="85" spans="1:14" x14ac:dyDescent="0.25">
      <c r="A85" s="1079"/>
      <c r="B85" s="1079"/>
      <c r="C85" s="1079"/>
      <c r="D85" s="1079"/>
      <c r="E85" s="1079"/>
      <c r="F85" s="1079"/>
      <c r="G85" s="1079"/>
      <c r="H85" s="1079"/>
      <c r="I85" s="1079"/>
      <c r="J85" s="1079"/>
      <c r="K85" s="1079"/>
      <c r="L85" s="1079"/>
      <c r="M85" s="1079"/>
      <c r="N85" s="1079"/>
    </row>
    <row r="86" spans="1:14" x14ac:dyDescent="0.25">
      <c r="A86" s="1079"/>
      <c r="B86" s="1079"/>
      <c r="C86" s="1079"/>
      <c r="D86" s="1079"/>
      <c r="E86" s="1079"/>
      <c r="F86" s="1079"/>
      <c r="G86" s="1079"/>
      <c r="H86" s="1079"/>
      <c r="I86" s="1079"/>
      <c r="J86" s="1079"/>
      <c r="K86" s="1079"/>
      <c r="L86" s="1079"/>
      <c r="M86" s="1079"/>
      <c r="N86" s="1079"/>
    </row>
    <row r="87" spans="1:14" x14ac:dyDescent="0.25">
      <c r="A87" s="1079"/>
      <c r="B87" s="1079"/>
      <c r="C87" s="1079"/>
      <c r="D87" s="1079"/>
      <c r="E87" s="1079"/>
      <c r="F87" s="1079"/>
      <c r="G87" s="1079"/>
      <c r="H87" s="1079"/>
      <c r="I87" s="1079"/>
      <c r="J87" s="1079"/>
      <c r="K87" s="1079"/>
      <c r="L87" s="1079"/>
      <c r="M87" s="1079"/>
      <c r="N87" s="1079"/>
    </row>
    <row r="88" spans="1:14" x14ac:dyDescent="0.25">
      <c r="A88" s="1079"/>
      <c r="B88" s="1079"/>
      <c r="C88" s="1079"/>
      <c r="D88" s="1079"/>
      <c r="E88" s="1079"/>
      <c r="F88" s="1079"/>
      <c r="G88" s="1079"/>
      <c r="H88" s="1079"/>
      <c r="I88" s="1079"/>
      <c r="J88" s="1079"/>
      <c r="K88" s="1079"/>
      <c r="L88" s="1079"/>
      <c r="M88" s="1079"/>
      <c r="N88" s="1079"/>
    </row>
    <row r="89" spans="1:14" x14ac:dyDescent="0.25">
      <c r="A89" s="1079"/>
      <c r="B89" s="1079"/>
      <c r="C89" s="1079"/>
      <c r="D89" s="1079"/>
      <c r="E89" s="1079"/>
      <c r="F89" s="1079"/>
      <c r="G89" s="1079"/>
      <c r="H89" s="1079"/>
      <c r="I89" s="1079"/>
      <c r="J89" s="1079"/>
      <c r="K89" s="1079"/>
      <c r="L89" s="1079"/>
      <c r="M89" s="1079"/>
      <c r="N89" s="1079"/>
    </row>
    <row r="90" spans="1:14" x14ac:dyDescent="0.25">
      <c r="A90" s="1079"/>
      <c r="B90" s="1079"/>
      <c r="C90" s="1079"/>
      <c r="D90" s="1079"/>
      <c r="E90" s="1079"/>
      <c r="F90" s="1079"/>
      <c r="G90" s="1079"/>
      <c r="H90" s="1079"/>
      <c r="I90" s="1079"/>
      <c r="J90" s="1079"/>
      <c r="K90" s="1079"/>
      <c r="L90" s="1079"/>
      <c r="M90" s="1079"/>
      <c r="N90" s="1079"/>
    </row>
    <row r="91" spans="1:14" x14ac:dyDescent="0.25">
      <c r="A91" s="1079"/>
      <c r="B91" s="1079"/>
      <c r="C91" s="1079"/>
      <c r="D91" s="1079"/>
      <c r="E91" s="1079"/>
      <c r="F91" s="1079"/>
      <c r="G91" s="1079"/>
      <c r="H91" s="1079"/>
      <c r="I91" s="1079"/>
      <c r="J91" s="1079"/>
      <c r="K91" s="1079"/>
      <c r="L91" s="1079"/>
      <c r="M91" s="1079"/>
      <c r="N91" s="1079"/>
    </row>
    <row r="92" spans="1:14" x14ac:dyDescent="0.25">
      <c r="A92" s="1079"/>
      <c r="B92" s="1079"/>
      <c r="C92" s="1079"/>
      <c r="D92" s="1079"/>
      <c r="E92" s="1079"/>
      <c r="F92" s="1079"/>
      <c r="G92" s="1079"/>
      <c r="H92" s="1079"/>
      <c r="I92" s="1079"/>
      <c r="J92" s="1079"/>
      <c r="K92" s="1079"/>
      <c r="L92" s="1079"/>
      <c r="M92" s="1079"/>
      <c r="N92" s="1079"/>
    </row>
    <row r="93" spans="1:14" x14ac:dyDescent="0.25">
      <c r="A93" s="1079"/>
      <c r="B93" s="1079"/>
      <c r="C93" s="1079"/>
      <c r="D93" s="1079"/>
      <c r="E93" s="1079"/>
      <c r="F93" s="1079"/>
      <c r="G93" s="1079"/>
      <c r="H93" s="1079"/>
      <c r="I93" s="1079"/>
      <c r="J93" s="1079"/>
      <c r="K93" s="1079"/>
      <c r="L93" s="1079"/>
      <c r="M93" s="1079"/>
      <c r="N93" s="1079"/>
    </row>
    <row r="94" spans="1:14" x14ac:dyDescent="0.25">
      <c r="A94" s="1079"/>
      <c r="B94" s="1079"/>
      <c r="C94" s="1079"/>
      <c r="D94" s="1079"/>
      <c r="E94" s="1079"/>
      <c r="F94" s="1079"/>
      <c r="G94" s="1079"/>
      <c r="H94" s="1079"/>
      <c r="I94" s="1079"/>
      <c r="J94" s="1079"/>
      <c r="K94" s="1079"/>
      <c r="L94" s="1079"/>
      <c r="M94" s="1079"/>
      <c r="N94" s="1079"/>
    </row>
    <row r="95" spans="1:14" x14ac:dyDescent="0.25">
      <c r="A95" s="1079"/>
      <c r="B95" s="1079"/>
      <c r="C95" s="1079"/>
      <c r="D95" s="1079"/>
      <c r="E95" s="1079"/>
      <c r="F95" s="1079"/>
      <c r="G95" s="1079"/>
      <c r="H95" s="1079"/>
      <c r="I95" s="1079"/>
      <c r="J95" s="1079"/>
      <c r="K95" s="1079"/>
      <c r="L95" s="1079"/>
      <c r="M95" s="1079"/>
      <c r="N95" s="1079"/>
    </row>
    <row r="96" spans="1:14" x14ac:dyDescent="0.25">
      <c r="A96" s="1079"/>
      <c r="B96" s="1079"/>
      <c r="C96" s="1079"/>
      <c r="D96" s="1079"/>
      <c r="E96" s="1079"/>
      <c r="F96" s="1079"/>
      <c r="G96" s="1079"/>
      <c r="H96" s="1079"/>
      <c r="I96" s="1079"/>
      <c r="J96" s="1079"/>
      <c r="K96" s="1079"/>
      <c r="L96" s="1079"/>
      <c r="M96" s="1079"/>
      <c r="N96" s="1079"/>
    </row>
    <row r="97" spans="1:14" x14ac:dyDescent="0.25">
      <c r="A97" s="1079"/>
      <c r="B97" s="1079"/>
      <c r="C97" s="1079"/>
      <c r="D97" s="1079"/>
      <c r="E97" s="1079"/>
      <c r="F97" s="1079"/>
      <c r="G97" s="1079"/>
      <c r="H97" s="1079"/>
      <c r="I97" s="1079"/>
      <c r="J97" s="1079"/>
      <c r="K97" s="1079"/>
      <c r="L97" s="1079"/>
      <c r="M97" s="1079"/>
      <c r="N97" s="1079"/>
    </row>
    <row r="98" spans="1:14" x14ac:dyDescent="0.25">
      <c r="A98" s="1079"/>
      <c r="B98" s="1079"/>
      <c r="C98" s="1079"/>
      <c r="D98" s="1079"/>
      <c r="E98" s="1079"/>
      <c r="F98" s="1079"/>
      <c r="G98" s="1079"/>
      <c r="H98" s="1079"/>
      <c r="I98" s="1079"/>
      <c r="J98" s="1079"/>
      <c r="K98" s="1079"/>
      <c r="L98" s="1079"/>
      <c r="M98" s="1079"/>
      <c r="N98" s="1079"/>
    </row>
    <row r="99" spans="1:14" x14ac:dyDescent="0.25">
      <c r="A99" s="1079"/>
      <c r="B99" s="1079"/>
      <c r="C99" s="1079"/>
      <c r="D99" s="1079"/>
      <c r="E99" s="1079"/>
      <c r="F99" s="1079"/>
      <c r="G99" s="1079"/>
      <c r="H99" s="1079"/>
      <c r="I99" s="1079"/>
      <c r="J99" s="1079"/>
      <c r="K99" s="1079"/>
      <c r="L99" s="1079"/>
      <c r="M99" s="1079"/>
      <c r="N99" s="1079"/>
    </row>
    <row r="100" spans="1:14" x14ac:dyDescent="0.25">
      <c r="A100" s="1079"/>
      <c r="B100" s="1079"/>
      <c r="C100" s="1079"/>
      <c r="D100" s="1079"/>
      <c r="E100" s="1079"/>
      <c r="F100" s="1079"/>
      <c r="G100" s="1079"/>
      <c r="H100" s="1079"/>
      <c r="I100" s="1079"/>
      <c r="J100" s="1079"/>
      <c r="K100" s="1079"/>
      <c r="L100" s="1079"/>
      <c r="M100" s="1079"/>
      <c r="N100" s="1079"/>
    </row>
    <row r="101" spans="1:14" x14ac:dyDescent="0.25">
      <c r="A101" s="1079"/>
      <c r="B101" s="1079"/>
      <c r="C101" s="1079"/>
      <c r="D101" s="1079"/>
      <c r="E101" s="1079"/>
      <c r="F101" s="1079"/>
      <c r="G101" s="1079"/>
      <c r="H101" s="1079"/>
      <c r="I101" s="1079"/>
      <c r="J101" s="1079"/>
      <c r="K101" s="1079"/>
      <c r="L101" s="1079"/>
      <c r="M101" s="1079"/>
      <c r="N101" s="1079"/>
    </row>
    <row r="102" spans="1:14" x14ac:dyDescent="0.25">
      <c r="A102" s="1079"/>
      <c r="B102" s="1079"/>
      <c r="C102" s="1079"/>
      <c r="D102" s="1079"/>
      <c r="E102" s="1079"/>
      <c r="F102" s="1079"/>
      <c r="G102" s="1079"/>
      <c r="H102" s="1079"/>
      <c r="I102" s="1079"/>
      <c r="J102" s="1079"/>
      <c r="K102" s="1079"/>
      <c r="L102" s="1079"/>
      <c r="M102" s="1079"/>
      <c r="N102" s="1079"/>
    </row>
    <row r="103" spans="1:14" x14ac:dyDescent="0.25">
      <c r="A103" s="1079"/>
      <c r="B103" s="1079"/>
      <c r="C103" s="1079"/>
      <c r="D103" s="1079"/>
      <c r="E103" s="1079"/>
      <c r="F103" s="1079"/>
      <c r="G103" s="1079"/>
      <c r="H103" s="1079"/>
      <c r="I103" s="1079"/>
      <c r="J103" s="1079"/>
      <c r="K103" s="1079"/>
      <c r="L103" s="1079"/>
      <c r="M103" s="1079"/>
      <c r="N103" s="1079"/>
    </row>
    <row r="104" spans="1:14" x14ac:dyDescent="0.25">
      <c r="A104" s="1079"/>
      <c r="B104" s="1079"/>
      <c r="C104" s="1079"/>
      <c r="D104" s="1079"/>
      <c r="E104" s="1079"/>
      <c r="F104" s="1079"/>
      <c r="G104" s="1079"/>
      <c r="H104" s="1079"/>
      <c r="I104" s="1079"/>
      <c r="J104" s="1079"/>
      <c r="K104" s="1079"/>
      <c r="L104" s="1079"/>
      <c r="M104" s="1079"/>
      <c r="N104" s="1079"/>
    </row>
    <row r="105" spans="1:14" x14ac:dyDescent="0.25">
      <c r="A105" s="1079"/>
      <c r="B105" s="1079"/>
      <c r="C105" s="1079"/>
      <c r="D105" s="1079"/>
      <c r="E105" s="1079"/>
      <c r="F105" s="1079"/>
      <c r="G105" s="1079"/>
      <c r="H105" s="1079"/>
      <c r="I105" s="1079"/>
      <c r="J105" s="1079"/>
      <c r="K105" s="1079"/>
      <c r="L105" s="1079"/>
      <c r="M105" s="1079"/>
      <c r="N105" s="1079"/>
    </row>
    <row r="106" spans="1:14" x14ac:dyDescent="0.25">
      <c r="A106" s="1079"/>
      <c r="B106" s="1079"/>
      <c r="C106" s="1079"/>
      <c r="D106" s="1079"/>
      <c r="E106" s="1079"/>
      <c r="F106" s="1079"/>
      <c r="G106" s="1079"/>
      <c r="H106" s="1079"/>
      <c r="I106" s="1079"/>
      <c r="J106" s="1079"/>
      <c r="K106" s="1079"/>
      <c r="L106" s="1079"/>
      <c r="M106" s="1079"/>
      <c r="N106" s="1079"/>
    </row>
    <row r="107" spans="1:14" x14ac:dyDescent="0.25">
      <c r="A107" s="1079"/>
      <c r="B107" s="1079"/>
      <c r="C107" s="1079"/>
      <c r="D107" s="1079"/>
      <c r="E107" s="1079"/>
      <c r="F107" s="1079"/>
      <c r="G107" s="1079"/>
      <c r="H107" s="1079"/>
      <c r="I107" s="1079"/>
      <c r="J107" s="1079"/>
      <c r="K107" s="1079"/>
      <c r="L107" s="1079"/>
      <c r="M107" s="1079"/>
      <c r="N107" s="1079"/>
    </row>
    <row r="108" spans="1:14" x14ac:dyDescent="0.25">
      <c r="A108" s="1079"/>
      <c r="B108" s="1079"/>
      <c r="C108" s="1079"/>
      <c r="D108" s="1079"/>
      <c r="E108" s="1079"/>
      <c r="F108" s="1079"/>
      <c r="G108" s="1079"/>
      <c r="H108" s="1079"/>
      <c r="I108" s="1079"/>
      <c r="J108" s="1079"/>
      <c r="K108" s="1079"/>
      <c r="L108" s="1079"/>
      <c r="M108" s="1079"/>
      <c r="N108" s="1079"/>
    </row>
    <row r="109" spans="1:14" x14ac:dyDescent="0.25">
      <c r="A109" s="1079"/>
      <c r="B109" s="1079"/>
      <c r="C109" s="1079"/>
      <c r="D109" s="1079"/>
      <c r="E109" s="1079"/>
      <c r="F109" s="1079"/>
      <c r="G109" s="1079"/>
      <c r="H109" s="1079"/>
      <c r="I109" s="1079"/>
      <c r="J109" s="1079"/>
      <c r="K109" s="1079"/>
      <c r="L109" s="1079"/>
      <c r="M109" s="1079"/>
      <c r="N109" s="1079"/>
    </row>
    <row r="110" spans="1:14" x14ac:dyDescent="0.25">
      <c r="A110" s="1079"/>
      <c r="B110" s="1079"/>
      <c r="C110" s="1079"/>
      <c r="D110" s="1079"/>
      <c r="E110" s="1079"/>
      <c r="F110" s="1079"/>
      <c r="G110" s="1079"/>
      <c r="H110" s="1079"/>
      <c r="I110" s="1079"/>
      <c r="J110" s="1079"/>
      <c r="K110" s="1079"/>
      <c r="L110" s="1079"/>
      <c r="M110" s="1079"/>
      <c r="N110" s="1079"/>
    </row>
    <row r="111" spans="1:14" x14ac:dyDescent="0.25">
      <c r="A111" s="1079"/>
      <c r="B111" s="1079"/>
      <c r="C111" s="1079"/>
      <c r="D111" s="1079"/>
      <c r="E111" s="1079"/>
      <c r="F111" s="1079"/>
      <c r="G111" s="1079"/>
      <c r="H111" s="1079"/>
      <c r="I111" s="1079"/>
      <c r="J111" s="1079"/>
      <c r="K111" s="1079"/>
      <c r="L111" s="1079"/>
      <c r="M111" s="1079"/>
      <c r="N111" s="1079"/>
    </row>
    <row r="112" spans="1:14" x14ac:dyDescent="0.25">
      <c r="A112" s="1079"/>
      <c r="B112" s="1079"/>
      <c r="C112" s="1079"/>
      <c r="D112" s="1079"/>
      <c r="E112" s="1079"/>
      <c r="F112" s="1079"/>
      <c r="G112" s="1079"/>
      <c r="H112" s="1079"/>
      <c r="I112" s="1079"/>
      <c r="J112" s="1079"/>
      <c r="K112" s="1079"/>
      <c r="L112" s="1079"/>
      <c r="M112" s="1079"/>
      <c r="N112" s="1079"/>
    </row>
    <row r="113" spans="1:14" x14ac:dyDescent="0.25">
      <c r="A113" s="1079"/>
      <c r="B113" s="1079"/>
      <c r="C113" s="1079"/>
      <c r="D113" s="1079"/>
      <c r="E113" s="1079"/>
      <c r="F113" s="1079"/>
      <c r="G113" s="1079"/>
      <c r="H113" s="1079"/>
      <c r="I113" s="1079"/>
      <c r="J113" s="1079"/>
      <c r="K113" s="1079"/>
      <c r="L113" s="1079"/>
      <c r="M113" s="1079"/>
      <c r="N113" s="1079"/>
    </row>
    <row r="114" spans="1:14" x14ac:dyDescent="0.25">
      <c r="A114" s="1079"/>
      <c r="B114" s="1079"/>
      <c r="C114" s="1079"/>
      <c r="D114" s="1079"/>
      <c r="E114" s="1079"/>
      <c r="F114" s="1079"/>
      <c r="G114" s="1079"/>
      <c r="H114" s="1079"/>
      <c r="I114" s="1079"/>
      <c r="J114" s="1079"/>
      <c r="K114" s="1079"/>
      <c r="L114" s="1079"/>
      <c r="M114" s="1079"/>
      <c r="N114" s="1079"/>
    </row>
    <row r="115" spans="1:14" x14ac:dyDescent="0.25">
      <c r="A115" s="1079"/>
      <c r="B115" s="1079"/>
      <c r="C115" s="1079"/>
      <c r="D115" s="1079"/>
      <c r="E115" s="1079"/>
      <c r="F115" s="1079"/>
      <c r="G115" s="1079"/>
      <c r="H115" s="1079"/>
      <c r="I115" s="1079"/>
      <c r="J115" s="1079"/>
      <c r="K115" s="1079"/>
      <c r="L115" s="1079"/>
      <c r="M115" s="1079"/>
      <c r="N115" s="1079"/>
    </row>
    <row r="116" spans="1:14" x14ac:dyDescent="0.25">
      <c r="A116" s="1079"/>
      <c r="B116" s="1079"/>
      <c r="C116" s="1079"/>
      <c r="D116" s="1079"/>
      <c r="E116" s="1079"/>
      <c r="F116" s="1079"/>
      <c r="G116" s="1079"/>
      <c r="H116" s="1079"/>
      <c r="I116" s="1079"/>
      <c r="J116" s="1079"/>
      <c r="K116" s="1079"/>
      <c r="L116" s="1079"/>
      <c r="M116" s="1079"/>
      <c r="N116" s="1079"/>
    </row>
    <row r="117" spans="1:14" x14ac:dyDescent="0.25">
      <c r="A117" s="1079"/>
      <c r="B117" s="1079"/>
      <c r="C117" s="1079"/>
      <c r="D117" s="1079"/>
      <c r="E117" s="1079"/>
      <c r="F117" s="1079"/>
      <c r="G117" s="1079"/>
      <c r="H117" s="1079"/>
      <c r="I117" s="1079"/>
      <c r="J117" s="1079"/>
      <c r="K117" s="1079"/>
      <c r="L117" s="1079"/>
      <c r="M117" s="1079"/>
      <c r="N117" s="1079"/>
    </row>
    <row r="118" spans="1:14" x14ac:dyDescent="0.25">
      <c r="A118" s="1079"/>
      <c r="B118" s="1079"/>
      <c r="C118" s="1079"/>
      <c r="D118" s="1079"/>
      <c r="E118" s="1079"/>
      <c r="F118" s="1079"/>
      <c r="G118" s="1079"/>
      <c r="H118" s="1079"/>
      <c r="I118" s="1079"/>
      <c r="J118" s="1079"/>
      <c r="K118" s="1079"/>
      <c r="L118" s="1079"/>
      <c r="M118" s="1079"/>
      <c r="N118" s="1079"/>
    </row>
    <row r="119" spans="1:14" x14ac:dyDescent="0.25">
      <c r="A119" s="1079"/>
      <c r="B119" s="1079"/>
      <c r="C119" s="1079"/>
      <c r="D119" s="1079"/>
      <c r="E119" s="1079"/>
      <c r="F119" s="1079"/>
      <c r="G119" s="1079"/>
      <c r="H119" s="1079"/>
      <c r="I119" s="1079"/>
      <c r="J119" s="1079"/>
      <c r="K119" s="1079"/>
      <c r="L119" s="1079"/>
      <c r="M119" s="1079"/>
      <c r="N119" s="1079"/>
    </row>
    <row r="120" spans="1:14" x14ac:dyDescent="0.25">
      <c r="A120" s="1079"/>
      <c r="B120" s="1079"/>
      <c r="C120" s="1079"/>
      <c r="D120" s="1079"/>
      <c r="E120" s="1079"/>
      <c r="F120" s="1079"/>
      <c r="G120" s="1079"/>
      <c r="H120" s="1079"/>
      <c r="I120" s="1079"/>
      <c r="J120" s="1079"/>
      <c r="K120" s="1079"/>
      <c r="L120" s="1079"/>
      <c r="M120" s="1079"/>
      <c r="N120" s="1079"/>
    </row>
    <row r="121" spans="1:14" x14ac:dyDescent="0.25">
      <c r="A121" s="1079"/>
      <c r="B121" s="1079"/>
      <c r="C121" s="1079"/>
      <c r="D121" s="1079"/>
      <c r="E121" s="1079"/>
      <c r="F121" s="1079"/>
      <c r="G121" s="1079"/>
      <c r="H121" s="1079"/>
      <c r="I121" s="1079"/>
      <c r="J121" s="1079"/>
      <c r="K121" s="1079"/>
      <c r="L121" s="1079"/>
      <c r="M121" s="1079"/>
      <c r="N121" s="1079"/>
    </row>
    <row r="122" spans="1:14" x14ac:dyDescent="0.25">
      <c r="A122" s="1079"/>
      <c r="B122" s="1079"/>
      <c r="C122" s="1079"/>
      <c r="D122" s="1079"/>
      <c r="E122" s="1079"/>
      <c r="F122" s="1079"/>
      <c r="G122" s="1079"/>
      <c r="H122" s="1079"/>
      <c r="I122" s="1079"/>
      <c r="J122" s="1079"/>
      <c r="K122" s="1079"/>
      <c r="L122" s="1079"/>
      <c r="M122" s="1079"/>
      <c r="N122" s="1079"/>
    </row>
    <row r="123" spans="1:14" x14ac:dyDescent="0.25">
      <c r="A123" s="1079"/>
      <c r="B123" s="1079"/>
      <c r="C123" s="1079"/>
      <c r="D123" s="1079"/>
      <c r="E123" s="1079"/>
      <c r="F123" s="1079"/>
      <c r="G123" s="1079"/>
      <c r="H123" s="1079"/>
      <c r="I123" s="1079"/>
      <c r="J123" s="1079"/>
      <c r="K123" s="1079"/>
      <c r="L123" s="1079"/>
      <c r="M123" s="1079"/>
      <c r="N123" s="1079"/>
    </row>
    <row r="124" spans="1:14" x14ac:dyDescent="0.25">
      <c r="A124" s="1079"/>
      <c r="B124" s="1079"/>
      <c r="C124" s="1079"/>
      <c r="D124" s="1079"/>
      <c r="E124" s="1079"/>
      <c r="F124" s="1079"/>
      <c r="G124" s="1079"/>
      <c r="H124" s="1079"/>
      <c r="I124" s="1079"/>
      <c r="J124" s="1079"/>
      <c r="K124" s="1079"/>
      <c r="L124" s="1079"/>
      <c r="M124" s="1079"/>
      <c r="N124" s="1079"/>
    </row>
    <row r="125" spans="1:14" x14ac:dyDescent="0.25">
      <c r="A125" s="1079"/>
      <c r="B125" s="1079"/>
      <c r="C125" s="1079"/>
      <c r="D125" s="1079"/>
      <c r="E125" s="1079"/>
      <c r="F125" s="1079"/>
      <c r="G125" s="1079"/>
      <c r="H125" s="1079"/>
      <c r="I125" s="1079"/>
      <c r="J125" s="1079"/>
      <c r="K125" s="1079"/>
      <c r="L125" s="1079"/>
      <c r="M125" s="1079"/>
      <c r="N125" s="1079"/>
    </row>
    <row r="126" spans="1:14" x14ac:dyDescent="0.25">
      <c r="A126" s="1079"/>
      <c r="B126" s="1079"/>
      <c r="C126" s="1079"/>
      <c r="D126" s="1079"/>
      <c r="E126" s="1079"/>
      <c r="F126" s="1079"/>
      <c r="G126" s="1079"/>
      <c r="H126" s="1079"/>
      <c r="I126" s="1079"/>
      <c r="J126" s="1079"/>
      <c r="K126" s="1079"/>
      <c r="L126" s="1079"/>
      <c r="M126" s="1079"/>
      <c r="N126" s="1079"/>
    </row>
    <row r="127" spans="1:14" x14ac:dyDescent="0.25">
      <c r="A127" s="1079"/>
      <c r="B127" s="1079"/>
      <c r="C127" s="1079"/>
      <c r="D127" s="1079"/>
      <c r="E127" s="1079"/>
      <c r="F127" s="1079"/>
      <c r="G127" s="1079"/>
      <c r="H127" s="1079"/>
      <c r="I127" s="1079"/>
      <c r="J127" s="1079"/>
      <c r="K127" s="1079"/>
      <c r="L127" s="1079"/>
      <c r="M127" s="1079"/>
      <c r="N127" s="1079"/>
    </row>
    <row r="128" spans="1:14" x14ac:dyDescent="0.25">
      <c r="A128" s="1079"/>
      <c r="B128" s="1079"/>
      <c r="C128" s="1079"/>
      <c r="D128" s="1079"/>
      <c r="E128" s="1079"/>
      <c r="F128" s="1079"/>
      <c r="G128" s="1079"/>
      <c r="H128" s="1079"/>
      <c r="I128" s="1079"/>
      <c r="J128" s="1079"/>
      <c r="K128" s="1079"/>
      <c r="L128" s="1079"/>
      <c r="M128" s="1079"/>
      <c r="N128" s="1079"/>
    </row>
    <row r="129" spans="1:14" x14ac:dyDescent="0.25">
      <c r="A129" s="1079"/>
      <c r="B129" s="1079"/>
      <c r="C129" s="1079"/>
      <c r="D129" s="1079"/>
      <c r="E129" s="1079"/>
      <c r="F129" s="1079"/>
      <c r="G129" s="1079"/>
      <c r="H129" s="1079"/>
      <c r="I129" s="1079"/>
      <c r="J129" s="1079"/>
      <c r="K129" s="1079"/>
      <c r="L129" s="1079"/>
      <c r="M129" s="1079"/>
      <c r="N129" s="1079"/>
    </row>
    <row r="130" spans="1:14" x14ac:dyDescent="0.25">
      <c r="A130" s="1079"/>
      <c r="B130" s="1079"/>
      <c r="C130" s="1079"/>
      <c r="D130" s="1079"/>
      <c r="E130" s="1079"/>
      <c r="F130" s="1079"/>
      <c r="G130" s="1079"/>
      <c r="H130" s="1079"/>
      <c r="I130" s="1079"/>
      <c r="J130" s="1079"/>
      <c r="K130" s="1079"/>
      <c r="L130" s="1079"/>
      <c r="M130" s="1079"/>
      <c r="N130" s="1079"/>
    </row>
    <row r="131" spans="1:14" x14ac:dyDescent="0.25">
      <c r="A131" s="1079"/>
      <c r="B131" s="1079"/>
      <c r="C131" s="1079"/>
      <c r="D131" s="1079"/>
      <c r="E131" s="1079"/>
      <c r="F131" s="1079"/>
      <c r="G131" s="1079"/>
      <c r="H131" s="1079"/>
      <c r="I131" s="1079"/>
      <c r="J131" s="1079"/>
      <c r="K131" s="1079"/>
      <c r="L131" s="1079"/>
      <c r="M131" s="1079"/>
      <c r="N131" s="1079"/>
    </row>
    <row r="132" spans="1:14" x14ac:dyDescent="0.25">
      <c r="A132" s="1079"/>
      <c r="B132" s="1079"/>
      <c r="C132" s="1079"/>
      <c r="D132" s="1079"/>
      <c r="E132" s="1079"/>
      <c r="F132" s="1079"/>
      <c r="G132" s="1079"/>
      <c r="H132" s="1079"/>
      <c r="I132" s="1079"/>
      <c r="J132" s="1079"/>
      <c r="K132" s="1079"/>
      <c r="L132" s="1079"/>
      <c r="M132" s="1079"/>
      <c r="N132" s="1079"/>
    </row>
    <row r="133" spans="1:14" x14ac:dyDescent="0.25">
      <c r="A133" s="1079"/>
      <c r="B133" s="1079"/>
      <c r="C133" s="1079"/>
      <c r="D133" s="1079"/>
      <c r="E133" s="1079"/>
      <c r="F133" s="1079"/>
      <c r="G133" s="1079"/>
      <c r="H133" s="1079"/>
      <c r="I133" s="1079"/>
      <c r="J133" s="1079"/>
      <c r="K133" s="1079"/>
      <c r="L133" s="1079"/>
      <c r="M133" s="1079"/>
      <c r="N133" s="1079"/>
    </row>
    <row r="134" spans="1:14" x14ac:dyDescent="0.25">
      <c r="A134" s="1079"/>
      <c r="B134" s="1079"/>
      <c r="C134" s="1079"/>
      <c r="D134" s="1079"/>
      <c r="E134" s="1079"/>
      <c r="F134" s="1079"/>
      <c r="G134" s="1079"/>
      <c r="H134" s="1079"/>
      <c r="I134" s="1079"/>
      <c r="J134" s="1079"/>
      <c r="K134" s="1079"/>
      <c r="L134" s="1079"/>
      <c r="M134" s="1079"/>
      <c r="N134" s="1079"/>
    </row>
    <row r="135" spans="1:14" x14ac:dyDescent="0.25">
      <c r="A135" s="1079"/>
      <c r="B135" s="1079"/>
      <c r="C135" s="1079"/>
      <c r="D135" s="1079"/>
      <c r="E135" s="1079"/>
      <c r="F135" s="1079"/>
      <c r="G135" s="1079"/>
      <c r="H135" s="1079"/>
      <c r="I135" s="1079"/>
      <c r="J135" s="1079"/>
      <c r="K135" s="1079"/>
      <c r="L135" s="1079"/>
      <c r="M135" s="1079"/>
      <c r="N135" s="1079"/>
    </row>
    <row r="136" spans="1:14" x14ac:dyDescent="0.25">
      <c r="A136" s="1079"/>
      <c r="B136" s="1079"/>
      <c r="C136" s="1079"/>
      <c r="D136" s="1079"/>
      <c r="E136" s="1079"/>
      <c r="F136" s="1079"/>
      <c r="G136" s="1079"/>
      <c r="H136" s="1079"/>
      <c r="I136" s="1079"/>
      <c r="J136" s="1079"/>
      <c r="K136" s="1079"/>
      <c r="L136" s="1079"/>
      <c r="M136" s="1079"/>
      <c r="N136" s="1079"/>
    </row>
    <row r="137" spans="1:14" x14ac:dyDescent="0.25">
      <c r="A137" s="1079"/>
      <c r="B137" s="1079"/>
      <c r="C137" s="1079"/>
      <c r="D137" s="1079"/>
      <c r="E137" s="1079"/>
      <c r="F137" s="1079"/>
      <c r="G137" s="1079"/>
      <c r="H137" s="1079"/>
      <c r="I137" s="1079"/>
      <c r="J137" s="1079"/>
      <c r="K137" s="1079"/>
      <c r="L137" s="1079"/>
      <c r="M137" s="1079"/>
      <c r="N137" s="1079"/>
    </row>
    <row r="138" spans="1:14" x14ac:dyDescent="0.25">
      <c r="A138" s="1079"/>
      <c r="B138" s="1079"/>
      <c r="C138" s="1079"/>
      <c r="D138" s="1079"/>
      <c r="E138" s="1079"/>
      <c r="F138" s="1079"/>
      <c r="G138" s="1079"/>
      <c r="H138" s="1079"/>
      <c r="I138" s="1079"/>
      <c r="J138" s="1079"/>
      <c r="K138" s="1079"/>
      <c r="L138" s="1079"/>
      <c r="M138" s="1079"/>
      <c r="N138" s="1079"/>
    </row>
    <row r="139" spans="1:14" x14ac:dyDescent="0.25">
      <c r="A139" s="1079"/>
      <c r="B139" s="1079"/>
      <c r="C139" s="1079"/>
      <c r="D139" s="1079"/>
      <c r="E139" s="1079"/>
      <c r="F139" s="1079"/>
      <c r="G139" s="1079"/>
      <c r="H139" s="1079"/>
      <c r="I139" s="1079"/>
      <c r="J139" s="1079"/>
      <c r="K139" s="1079"/>
      <c r="L139" s="1079"/>
      <c r="M139" s="1079"/>
      <c r="N139" s="1079"/>
    </row>
    <row r="140" spans="1:14" x14ac:dyDescent="0.25">
      <c r="A140" s="1079"/>
      <c r="B140" s="1079"/>
      <c r="C140" s="1079"/>
      <c r="D140" s="1079"/>
      <c r="E140" s="1079"/>
      <c r="F140" s="1079"/>
      <c r="G140" s="1079"/>
      <c r="H140" s="1079"/>
      <c r="I140" s="1079"/>
      <c r="J140" s="1079"/>
      <c r="K140" s="1079"/>
      <c r="L140" s="1079"/>
      <c r="M140" s="1079"/>
      <c r="N140" s="1079"/>
    </row>
    <row r="141" spans="1:14" x14ac:dyDescent="0.25">
      <c r="A141" s="1079"/>
      <c r="B141" s="1079"/>
      <c r="C141" s="1079"/>
      <c r="D141" s="1079"/>
      <c r="E141" s="1079"/>
      <c r="F141" s="1079"/>
      <c r="G141" s="1079"/>
      <c r="H141" s="1079"/>
      <c r="I141" s="1079"/>
      <c r="J141" s="1079"/>
      <c r="K141" s="1079"/>
      <c r="L141" s="1079"/>
      <c r="M141" s="1079"/>
      <c r="N141" s="1079"/>
    </row>
    <row r="142" spans="1:14" x14ac:dyDescent="0.25">
      <c r="A142" s="1079"/>
      <c r="B142" s="1079"/>
      <c r="C142" s="1079"/>
      <c r="D142" s="1079"/>
      <c r="E142" s="1079"/>
      <c r="F142" s="1079"/>
      <c r="G142" s="1079"/>
      <c r="H142" s="1079"/>
      <c r="I142" s="1079"/>
      <c r="J142" s="1079"/>
      <c r="K142" s="1079"/>
      <c r="L142" s="1079"/>
      <c r="M142" s="1079"/>
      <c r="N142" s="1079"/>
    </row>
    <row r="143" spans="1:14" x14ac:dyDescent="0.25">
      <c r="A143" s="1079"/>
      <c r="B143" s="1079"/>
      <c r="C143" s="1079"/>
      <c r="D143" s="1079"/>
      <c r="E143" s="1079"/>
      <c r="F143" s="1079"/>
      <c r="G143" s="1079"/>
      <c r="H143" s="1079"/>
      <c r="I143" s="1079"/>
      <c r="J143" s="1079"/>
      <c r="K143" s="1079"/>
      <c r="L143" s="1079"/>
      <c r="M143" s="1079"/>
      <c r="N143" s="1079"/>
    </row>
    <row r="144" spans="1:14" x14ac:dyDescent="0.25">
      <c r="A144" s="1079"/>
      <c r="B144" s="1079"/>
      <c r="C144" s="1079"/>
      <c r="D144" s="1079"/>
      <c r="E144" s="1079"/>
      <c r="F144" s="1079"/>
      <c r="G144" s="1079"/>
      <c r="H144" s="1079"/>
      <c r="I144" s="1079"/>
      <c r="J144" s="1079"/>
      <c r="K144" s="1079"/>
      <c r="L144" s="1079"/>
      <c r="M144" s="1079"/>
      <c r="N144" s="1079"/>
    </row>
    <row r="145" spans="1:14" x14ac:dyDescent="0.25">
      <c r="A145" s="1079"/>
      <c r="B145" s="1079"/>
      <c r="C145" s="1079"/>
      <c r="D145" s="1079"/>
      <c r="E145" s="1079"/>
      <c r="F145" s="1079"/>
      <c r="G145" s="1079"/>
      <c r="H145" s="1079"/>
      <c r="I145" s="1079"/>
      <c r="J145" s="1079"/>
      <c r="K145" s="1079"/>
      <c r="L145" s="1079"/>
      <c r="M145" s="1079"/>
      <c r="N145" s="1079"/>
    </row>
    <row r="146" spans="1:14" x14ac:dyDescent="0.25">
      <c r="A146" s="1079"/>
      <c r="B146" s="1079"/>
      <c r="C146" s="1079"/>
      <c r="D146" s="1079"/>
      <c r="E146" s="1079"/>
      <c r="F146" s="1079"/>
      <c r="G146" s="1079"/>
      <c r="H146" s="1079"/>
      <c r="I146" s="1079"/>
      <c r="J146" s="1079"/>
      <c r="K146" s="1079"/>
      <c r="L146" s="1079"/>
      <c r="M146" s="1079"/>
      <c r="N146" s="1079"/>
    </row>
    <row r="147" spans="1:14" x14ac:dyDescent="0.25">
      <c r="A147" s="1079"/>
      <c r="B147" s="1079"/>
      <c r="C147" s="1079"/>
      <c r="D147" s="1079"/>
      <c r="E147" s="1079"/>
      <c r="F147" s="1079"/>
      <c r="G147" s="1079"/>
      <c r="H147" s="1079"/>
      <c r="I147" s="1079"/>
      <c r="J147" s="1079"/>
      <c r="K147" s="1079"/>
      <c r="L147" s="1079"/>
      <c r="M147" s="1079"/>
      <c r="N147" s="1079"/>
    </row>
    <row r="148" spans="1:14" x14ac:dyDescent="0.25">
      <c r="A148" s="1079"/>
      <c r="B148" s="1079"/>
      <c r="C148" s="1079"/>
      <c r="D148" s="1079"/>
      <c r="E148" s="1079"/>
      <c r="F148" s="1079"/>
      <c r="G148" s="1079"/>
      <c r="H148" s="1079"/>
      <c r="I148" s="1079"/>
      <c r="J148" s="1079"/>
      <c r="K148" s="1079"/>
      <c r="L148" s="1079"/>
      <c r="M148" s="1079"/>
      <c r="N148" s="1079"/>
    </row>
    <row r="149" spans="1:14" x14ac:dyDescent="0.25">
      <c r="A149" s="1079"/>
      <c r="B149" s="1079"/>
      <c r="C149" s="1079"/>
      <c r="D149" s="1079"/>
      <c r="E149" s="1079"/>
      <c r="F149" s="1079"/>
      <c r="G149" s="1079"/>
      <c r="H149" s="1079"/>
      <c r="I149" s="1079"/>
      <c r="J149" s="1079"/>
      <c r="K149" s="1079"/>
      <c r="L149" s="1079"/>
      <c r="M149" s="1079"/>
      <c r="N149" s="1079"/>
    </row>
    <row r="150" spans="1:14" x14ac:dyDescent="0.25">
      <c r="A150" s="1079"/>
      <c r="B150" s="1079"/>
      <c r="C150" s="1079"/>
      <c r="D150" s="1079"/>
      <c r="E150" s="1079"/>
      <c r="F150" s="1079"/>
      <c r="G150" s="1079"/>
      <c r="H150" s="1079"/>
      <c r="I150" s="1079"/>
      <c r="J150" s="1079"/>
      <c r="K150" s="1079"/>
      <c r="L150" s="1079"/>
      <c r="M150" s="1079"/>
      <c r="N150" s="1079"/>
    </row>
    <row r="151" spans="1:14" x14ac:dyDescent="0.25">
      <c r="A151" s="1079"/>
      <c r="B151" s="1079"/>
      <c r="C151" s="1079"/>
      <c r="D151" s="1079"/>
      <c r="E151" s="1079"/>
      <c r="F151" s="1079"/>
      <c r="G151" s="1079"/>
      <c r="H151" s="1079"/>
      <c r="I151" s="1079"/>
      <c r="J151" s="1079"/>
      <c r="K151" s="1079"/>
      <c r="L151" s="1079"/>
      <c r="M151" s="1079"/>
      <c r="N151" s="1079"/>
    </row>
    <row r="152" spans="1:14" x14ac:dyDescent="0.25">
      <c r="A152" s="1079"/>
      <c r="B152" s="1079"/>
      <c r="C152" s="1079"/>
      <c r="D152" s="1079"/>
      <c r="E152" s="1079"/>
      <c r="F152" s="1079"/>
      <c r="G152" s="1079"/>
      <c r="H152" s="1079"/>
      <c r="I152" s="1079"/>
      <c r="J152" s="1079"/>
      <c r="K152" s="1079"/>
      <c r="L152" s="1079"/>
      <c r="M152" s="1079"/>
      <c r="N152" s="1079"/>
    </row>
    <row r="153" spans="1:14" x14ac:dyDescent="0.25">
      <c r="A153" s="1079"/>
      <c r="B153" s="1079"/>
      <c r="C153" s="1079"/>
      <c r="D153" s="1079"/>
      <c r="E153" s="1079"/>
      <c r="F153" s="1079"/>
      <c r="G153" s="1079"/>
      <c r="H153" s="1079"/>
      <c r="I153" s="1079"/>
      <c r="J153" s="1079"/>
      <c r="K153" s="1079"/>
      <c r="L153" s="1079"/>
      <c r="M153" s="1079"/>
      <c r="N153" s="1079"/>
    </row>
    <row r="154" spans="1:14" x14ac:dyDescent="0.25">
      <c r="A154" s="1079"/>
      <c r="B154" s="1079"/>
      <c r="C154" s="1079"/>
      <c r="D154" s="1079"/>
      <c r="E154" s="1079"/>
      <c r="F154" s="1079"/>
      <c r="G154" s="1079"/>
      <c r="H154" s="1079"/>
      <c r="I154" s="1079"/>
      <c r="J154" s="1079"/>
      <c r="K154" s="1079"/>
      <c r="L154" s="1079"/>
      <c r="M154" s="1079"/>
      <c r="N154" s="1079"/>
    </row>
    <row r="155" spans="1:14" x14ac:dyDescent="0.25">
      <c r="A155" s="1079"/>
      <c r="B155" s="1079"/>
      <c r="C155" s="1079"/>
      <c r="D155" s="1079"/>
      <c r="E155" s="1079"/>
      <c r="F155" s="1079"/>
      <c r="G155" s="1079"/>
      <c r="H155" s="1079"/>
      <c r="I155" s="1079"/>
      <c r="J155" s="1079"/>
      <c r="K155" s="1079"/>
      <c r="L155" s="1079"/>
      <c r="M155" s="1079"/>
      <c r="N155" s="1079"/>
    </row>
    <row r="156" spans="1:14" x14ac:dyDescent="0.25">
      <c r="A156" s="1079"/>
      <c r="B156" s="1079"/>
      <c r="C156" s="1079"/>
      <c r="D156" s="1079"/>
      <c r="E156" s="1079"/>
      <c r="F156" s="1079"/>
      <c r="G156" s="1079"/>
      <c r="H156" s="1079"/>
      <c r="I156" s="1079"/>
      <c r="J156" s="1079"/>
      <c r="K156" s="1079"/>
      <c r="L156" s="1079"/>
      <c r="M156" s="1079"/>
      <c r="N156" s="1079"/>
    </row>
    <row r="157" spans="1:14" x14ac:dyDescent="0.25">
      <c r="A157" s="1079"/>
      <c r="B157" s="1079"/>
      <c r="C157" s="1079"/>
      <c r="D157" s="1079"/>
      <c r="E157" s="1079"/>
      <c r="F157" s="1079"/>
      <c r="G157" s="1079"/>
      <c r="H157" s="1079"/>
      <c r="I157" s="1079"/>
      <c r="J157" s="1079"/>
      <c r="K157" s="1079"/>
      <c r="L157" s="1079"/>
      <c r="M157" s="1079"/>
      <c r="N157" s="1079"/>
    </row>
    <row r="158" spans="1:14" x14ac:dyDescent="0.25">
      <c r="A158" s="1079"/>
      <c r="B158" s="1079"/>
      <c r="C158" s="1079"/>
      <c r="D158" s="1079"/>
      <c r="E158" s="1079"/>
      <c r="F158" s="1079"/>
      <c r="G158" s="1079"/>
      <c r="H158" s="1079"/>
      <c r="I158" s="1079"/>
      <c r="J158" s="1079"/>
      <c r="K158" s="1079"/>
      <c r="L158" s="1079"/>
      <c r="M158" s="1079"/>
      <c r="N158" s="1079"/>
    </row>
    <row r="159" spans="1:14" x14ac:dyDescent="0.25">
      <c r="A159" s="1079"/>
      <c r="B159" s="1079"/>
      <c r="C159" s="1079"/>
      <c r="D159" s="1079"/>
      <c r="E159" s="1079"/>
      <c r="F159" s="1079"/>
      <c r="G159" s="1079"/>
      <c r="H159" s="1079"/>
      <c r="I159" s="1079"/>
      <c r="J159" s="1079"/>
      <c r="K159" s="1079"/>
      <c r="L159" s="1079"/>
      <c r="M159" s="1079"/>
      <c r="N159" s="1079"/>
    </row>
    <row r="160" spans="1:14" x14ac:dyDescent="0.25">
      <c r="A160" s="1079"/>
      <c r="B160" s="1079"/>
      <c r="C160" s="1079"/>
      <c r="D160" s="1079"/>
      <c r="E160" s="1079"/>
      <c r="F160" s="1079"/>
      <c r="G160" s="1079"/>
      <c r="H160" s="1079"/>
      <c r="I160" s="1079"/>
      <c r="J160" s="1079"/>
      <c r="K160" s="1079"/>
      <c r="L160" s="1079"/>
      <c r="M160" s="1079"/>
      <c r="N160" s="1079"/>
    </row>
    <row r="161" spans="1:14" x14ac:dyDescent="0.25">
      <c r="A161" s="1079"/>
      <c r="B161" s="1079"/>
      <c r="C161" s="1079"/>
      <c r="D161" s="1079"/>
      <c r="E161" s="1079"/>
      <c r="F161" s="1079"/>
      <c r="G161" s="1079"/>
      <c r="H161" s="1079"/>
      <c r="I161" s="1079"/>
      <c r="J161" s="1079"/>
      <c r="K161" s="1079"/>
      <c r="L161" s="1079"/>
      <c r="M161" s="1079"/>
      <c r="N161" s="1079"/>
    </row>
    <row r="162" spans="1:14" x14ac:dyDescent="0.25">
      <c r="A162" s="1079"/>
      <c r="B162" s="1079"/>
      <c r="C162" s="1079"/>
      <c r="D162" s="1079"/>
      <c r="E162" s="1079"/>
      <c r="F162" s="1079"/>
      <c r="G162" s="1079"/>
      <c r="H162" s="1079"/>
      <c r="I162" s="1079"/>
      <c r="J162" s="1079"/>
      <c r="K162" s="1079"/>
      <c r="L162" s="1079"/>
      <c r="M162" s="1079"/>
      <c r="N162" s="1079"/>
    </row>
    <row r="163" spans="1:14" x14ac:dyDescent="0.25">
      <c r="A163" s="1079"/>
      <c r="B163" s="1079"/>
      <c r="C163" s="1079"/>
      <c r="D163" s="1079"/>
      <c r="E163" s="1079"/>
      <c r="F163" s="1079"/>
      <c r="G163" s="1079"/>
      <c r="H163" s="1079"/>
      <c r="I163" s="1079"/>
      <c r="J163" s="1079"/>
      <c r="K163" s="1079"/>
      <c r="L163" s="1079"/>
      <c r="M163" s="1079"/>
      <c r="N163" s="1079"/>
    </row>
    <row r="164" spans="1:14" x14ac:dyDescent="0.25">
      <c r="A164" s="1079"/>
      <c r="B164" s="1079"/>
      <c r="C164" s="1079"/>
      <c r="D164" s="1079"/>
      <c r="E164" s="1079"/>
      <c r="F164" s="1079"/>
      <c r="G164" s="1079"/>
      <c r="H164" s="1079"/>
      <c r="I164" s="1079"/>
      <c r="J164" s="1079"/>
      <c r="K164" s="1079"/>
      <c r="L164" s="1079"/>
      <c r="M164" s="1079"/>
      <c r="N164" s="1079"/>
    </row>
    <row r="165" spans="1:14" x14ac:dyDescent="0.25">
      <c r="A165" s="1079"/>
      <c r="B165" s="1079"/>
      <c r="C165" s="1079"/>
      <c r="D165" s="1079"/>
      <c r="E165" s="1079"/>
      <c r="F165" s="1079"/>
      <c r="G165" s="1079"/>
      <c r="H165" s="1079"/>
      <c r="I165" s="1079"/>
      <c r="J165" s="1079"/>
      <c r="K165" s="1079"/>
      <c r="L165" s="1079"/>
      <c r="M165" s="1079"/>
      <c r="N165" s="1079"/>
    </row>
    <row r="166" spans="1:14" x14ac:dyDescent="0.25">
      <c r="A166" s="1079"/>
      <c r="B166" s="1079"/>
      <c r="C166" s="1079"/>
      <c r="D166" s="1079"/>
      <c r="E166" s="1079"/>
      <c r="F166" s="1079"/>
      <c r="G166" s="1079"/>
      <c r="H166" s="1079"/>
      <c r="I166" s="1079"/>
      <c r="J166" s="1079"/>
      <c r="K166" s="1079"/>
      <c r="L166" s="1079"/>
      <c r="M166" s="1079"/>
      <c r="N166" s="1079"/>
    </row>
    <row r="167" spans="1:14" x14ac:dyDescent="0.25">
      <c r="A167" s="1079"/>
      <c r="B167" s="1079"/>
      <c r="C167" s="1079"/>
      <c r="D167" s="1079"/>
      <c r="E167" s="1079"/>
      <c r="F167" s="1079"/>
      <c r="G167" s="1079"/>
      <c r="H167" s="1079"/>
      <c r="I167" s="1079"/>
      <c r="J167" s="1079"/>
      <c r="K167" s="1079"/>
      <c r="L167" s="1079"/>
      <c r="M167" s="1079"/>
      <c r="N167" s="1079"/>
    </row>
    <row r="168" spans="1:14" x14ac:dyDescent="0.25">
      <c r="A168" s="1079"/>
      <c r="B168" s="1079"/>
      <c r="C168" s="1079"/>
      <c r="D168" s="1079"/>
      <c r="E168" s="1079"/>
      <c r="F168" s="1079"/>
      <c r="G168" s="1079"/>
      <c r="H168" s="1079"/>
      <c r="I168" s="1079"/>
      <c r="J168" s="1079"/>
      <c r="K168" s="1079"/>
      <c r="L168" s="1079"/>
      <c r="M168" s="1079"/>
      <c r="N168" s="1079"/>
    </row>
    <row r="169" spans="1:14" x14ac:dyDescent="0.25">
      <c r="A169" s="1079"/>
      <c r="B169" s="1079"/>
      <c r="C169" s="1079"/>
      <c r="D169" s="1079"/>
      <c r="E169" s="1079"/>
      <c r="F169" s="1079"/>
      <c r="G169" s="1079"/>
      <c r="H169" s="1079"/>
      <c r="I169" s="1079"/>
      <c r="J169" s="1079"/>
      <c r="K169" s="1079"/>
      <c r="L169" s="1079"/>
      <c r="M169" s="1079"/>
      <c r="N169" s="1079"/>
    </row>
    <row r="170" spans="1:14" x14ac:dyDescent="0.25">
      <c r="A170" s="1079"/>
      <c r="B170" s="1079"/>
      <c r="C170" s="1079"/>
      <c r="D170" s="1079"/>
      <c r="E170" s="1079"/>
      <c r="F170" s="1079"/>
      <c r="G170" s="1079"/>
      <c r="H170" s="1079"/>
      <c r="I170" s="1079"/>
      <c r="J170" s="1079"/>
      <c r="K170" s="1079"/>
      <c r="L170" s="1079"/>
      <c r="M170" s="1079"/>
      <c r="N170" s="1079"/>
    </row>
    <row r="171" spans="1:14" x14ac:dyDescent="0.25">
      <c r="A171" s="1079"/>
      <c r="B171" s="1079"/>
      <c r="C171" s="1079"/>
      <c r="D171" s="1079"/>
      <c r="E171" s="1079"/>
      <c r="F171" s="1079"/>
      <c r="G171" s="1079"/>
      <c r="H171" s="1079"/>
      <c r="I171" s="1079"/>
      <c r="J171" s="1079"/>
      <c r="K171" s="1079"/>
      <c r="L171" s="1079"/>
      <c r="M171" s="1079"/>
      <c r="N171" s="1079"/>
    </row>
    <row r="172" spans="1:14" x14ac:dyDescent="0.25">
      <c r="A172" s="1079"/>
      <c r="B172" s="1079"/>
      <c r="C172" s="1079"/>
      <c r="D172" s="1079"/>
      <c r="E172" s="1079"/>
      <c r="F172" s="1079"/>
      <c r="G172" s="1079"/>
      <c r="H172" s="1079"/>
      <c r="I172" s="1079"/>
      <c r="J172" s="1079"/>
      <c r="K172" s="1079"/>
      <c r="L172" s="1079"/>
      <c r="M172" s="1079"/>
      <c r="N172" s="1079"/>
    </row>
    <row r="173" spans="1:14" x14ac:dyDescent="0.25">
      <c r="A173" s="1079"/>
      <c r="B173" s="1079"/>
      <c r="C173" s="1079"/>
      <c r="D173" s="1079"/>
      <c r="E173" s="1079"/>
      <c r="F173" s="1079"/>
      <c r="G173" s="1079"/>
      <c r="H173" s="1079"/>
      <c r="I173" s="1079"/>
      <c r="J173" s="1079"/>
      <c r="K173" s="1079"/>
      <c r="L173" s="1079"/>
      <c r="M173" s="1079"/>
      <c r="N173" s="1079"/>
    </row>
    <row r="174" spans="1:14" x14ac:dyDescent="0.25">
      <c r="A174" s="1079"/>
      <c r="B174" s="1079"/>
      <c r="C174" s="1079"/>
      <c r="D174" s="1079"/>
      <c r="E174" s="1079"/>
      <c r="F174" s="1079"/>
      <c r="G174" s="1079"/>
      <c r="H174" s="1079"/>
      <c r="I174" s="1079"/>
      <c r="J174" s="1079"/>
      <c r="K174" s="1079"/>
      <c r="L174" s="1079"/>
      <c r="M174" s="1079"/>
      <c r="N174" s="1079"/>
    </row>
    <row r="175" spans="1:14" x14ac:dyDescent="0.25">
      <c r="A175" s="1079"/>
      <c r="B175" s="1079"/>
      <c r="C175" s="1079"/>
      <c r="D175" s="1079"/>
      <c r="E175" s="1079"/>
      <c r="F175" s="1079"/>
      <c r="G175" s="1079"/>
      <c r="H175" s="1079"/>
      <c r="I175" s="1079"/>
      <c r="J175" s="1079"/>
      <c r="K175" s="1079"/>
      <c r="L175" s="1079"/>
      <c r="M175" s="1079"/>
      <c r="N175" s="1079"/>
    </row>
    <row r="176" spans="1:14" x14ac:dyDescent="0.25">
      <c r="A176" s="1079"/>
      <c r="B176" s="1079"/>
      <c r="C176" s="1079"/>
      <c r="D176" s="1079"/>
      <c r="E176" s="1079"/>
      <c r="F176" s="1079"/>
      <c r="G176" s="1079"/>
      <c r="H176" s="1079"/>
      <c r="I176" s="1079"/>
      <c r="J176" s="1079"/>
      <c r="K176" s="1079"/>
      <c r="L176" s="1079"/>
      <c r="M176" s="1079"/>
      <c r="N176" s="1079"/>
    </row>
    <row r="177" spans="1:14" x14ac:dyDescent="0.25">
      <c r="A177" s="1079"/>
      <c r="B177" s="1079"/>
      <c r="C177" s="1079"/>
      <c r="D177" s="1079"/>
      <c r="E177" s="1079"/>
      <c r="F177" s="1079"/>
      <c r="G177" s="1079"/>
      <c r="H177" s="1079"/>
      <c r="I177" s="1079"/>
      <c r="J177" s="1079"/>
      <c r="K177" s="1079"/>
      <c r="L177" s="1079"/>
      <c r="M177" s="1079"/>
      <c r="N177" s="1079"/>
    </row>
    <row r="178" spans="1:14" x14ac:dyDescent="0.25">
      <c r="A178" s="1079"/>
      <c r="B178" s="1079"/>
      <c r="C178" s="1079"/>
      <c r="D178" s="1079"/>
      <c r="E178" s="1079"/>
      <c r="F178" s="1079"/>
      <c r="G178" s="1079"/>
      <c r="H178" s="1079"/>
      <c r="I178" s="1079"/>
      <c r="J178" s="1079"/>
      <c r="K178" s="1079"/>
      <c r="L178" s="1079"/>
      <c r="M178" s="1079"/>
      <c r="N178" s="1079"/>
    </row>
    <row r="179" spans="1:14" x14ac:dyDescent="0.25">
      <c r="A179" s="1079"/>
      <c r="B179" s="1079"/>
      <c r="C179" s="1079"/>
      <c r="D179" s="1079"/>
      <c r="E179" s="1079"/>
      <c r="F179" s="1079"/>
      <c r="G179" s="1079"/>
      <c r="H179" s="1079"/>
      <c r="I179" s="1079"/>
      <c r="J179" s="1079"/>
      <c r="K179" s="1079"/>
      <c r="L179" s="1079"/>
      <c r="M179" s="1079"/>
      <c r="N179" s="1079"/>
    </row>
    <row r="180" spans="1:14" x14ac:dyDescent="0.25">
      <c r="A180" s="1079"/>
      <c r="B180" s="1079"/>
      <c r="C180" s="1079"/>
      <c r="D180" s="1079"/>
      <c r="E180" s="1079"/>
      <c r="F180" s="1079"/>
      <c r="G180" s="1079"/>
      <c r="H180" s="1079"/>
      <c r="I180" s="1079"/>
      <c r="J180" s="1079"/>
      <c r="K180" s="1079"/>
      <c r="L180" s="1079"/>
      <c r="M180" s="1079"/>
      <c r="N180" s="1079"/>
    </row>
    <row r="181" spans="1:14" x14ac:dyDescent="0.25">
      <c r="A181" s="1079"/>
      <c r="B181" s="1079"/>
      <c r="C181" s="1079"/>
      <c r="D181" s="1079"/>
      <c r="E181" s="1079"/>
      <c r="F181" s="1079"/>
      <c r="G181" s="1079"/>
      <c r="H181" s="1079"/>
      <c r="I181" s="1079"/>
      <c r="J181" s="1079"/>
      <c r="K181" s="1079"/>
      <c r="L181" s="1079"/>
      <c r="M181" s="1079"/>
      <c r="N181" s="1079"/>
    </row>
    <row r="182" spans="1:14" x14ac:dyDescent="0.25">
      <c r="A182" s="1079"/>
      <c r="B182" s="1079"/>
      <c r="C182" s="1079"/>
      <c r="D182" s="1079"/>
      <c r="E182" s="1079"/>
      <c r="F182" s="1079"/>
      <c r="G182" s="1079"/>
      <c r="H182" s="1079"/>
      <c r="I182" s="1079"/>
      <c r="J182" s="1079"/>
      <c r="K182" s="1079"/>
      <c r="L182" s="1079"/>
      <c r="M182" s="1079"/>
      <c r="N182" s="1079"/>
    </row>
    <row r="183" spans="1:14" x14ac:dyDescent="0.25">
      <c r="A183" s="1079"/>
      <c r="B183" s="1079"/>
      <c r="C183" s="1079"/>
      <c r="D183" s="1079"/>
      <c r="E183" s="1079"/>
      <c r="F183" s="1079"/>
      <c r="G183" s="1079"/>
      <c r="H183" s="1079"/>
      <c r="I183" s="1079"/>
      <c r="J183" s="1079"/>
      <c r="K183" s="1079"/>
      <c r="L183" s="1079"/>
      <c r="M183" s="1079"/>
      <c r="N183" s="1079"/>
    </row>
    <row r="184" spans="1:14" x14ac:dyDescent="0.25">
      <c r="A184" s="1079"/>
      <c r="B184" s="1079"/>
      <c r="C184" s="1079"/>
      <c r="D184" s="1079"/>
      <c r="E184" s="1079"/>
      <c r="F184" s="1079"/>
      <c r="G184" s="1079"/>
      <c r="H184" s="1079"/>
      <c r="I184" s="1079"/>
      <c r="J184" s="1079"/>
      <c r="K184" s="1079"/>
      <c r="L184" s="1079"/>
      <c r="M184" s="1079"/>
      <c r="N184" s="1079"/>
    </row>
    <row r="185" spans="1:14" x14ac:dyDescent="0.25">
      <c r="A185" s="1079"/>
      <c r="B185" s="1079"/>
      <c r="C185" s="1079"/>
      <c r="D185" s="1079"/>
      <c r="E185" s="1079"/>
      <c r="F185" s="1079"/>
      <c r="G185" s="1079"/>
      <c r="H185" s="1079"/>
      <c r="I185" s="1079"/>
      <c r="J185" s="1079"/>
      <c r="K185" s="1079"/>
      <c r="L185" s="1079"/>
      <c r="M185" s="1079"/>
      <c r="N185" s="1079"/>
    </row>
    <row r="186" spans="1:14" x14ac:dyDescent="0.25">
      <c r="A186" s="1079"/>
      <c r="B186" s="1079"/>
      <c r="C186" s="1079"/>
      <c r="D186" s="1079"/>
      <c r="E186" s="1079"/>
      <c r="F186" s="1079"/>
      <c r="G186" s="1079"/>
      <c r="H186" s="1079"/>
      <c r="I186" s="1079"/>
      <c r="J186" s="1079"/>
      <c r="K186" s="1079"/>
      <c r="L186" s="1079"/>
      <c r="M186" s="1079"/>
      <c r="N186" s="1079"/>
    </row>
    <row r="187" spans="1:14" x14ac:dyDescent="0.25">
      <c r="A187" s="1079"/>
      <c r="B187" s="1079"/>
      <c r="C187" s="1079"/>
      <c r="D187" s="1079"/>
      <c r="E187" s="1079"/>
      <c r="F187" s="1079"/>
      <c r="G187" s="1079"/>
      <c r="H187" s="1079"/>
      <c r="I187" s="1079"/>
      <c r="J187" s="1079"/>
      <c r="K187" s="1079"/>
      <c r="L187" s="1079"/>
      <c r="M187" s="1079"/>
      <c r="N187" s="1079"/>
    </row>
    <row r="188" spans="1:14" x14ac:dyDescent="0.25">
      <c r="A188" s="1079"/>
      <c r="B188" s="1079"/>
      <c r="C188" s="1079"/>
      <c r="D188" s="1079"/>
      <c r="E188" s="1079"/>
      <c r="F188" s="1079"/>
      <c r="G188" s="1079"/>
      <c r="H188" s="1079"/>
      <c r="I188" s="1079"/>
      <c r="J188" s="1079"/>
      <c r="K188" s="1079"/>
      <c r="L188" s="1079"/>
      <c r="M188" s="1079"/>
      <c r="N188" s="1079"/>
    </row>
    <row r="189" spans="1:14" x14ac:dyDescent="0.25">
      <c r="A189" s="1079"/>
      <c r="B189" s="1079"/>
      <c r="C189" s="1079"/>
      <c r="D189" s="1079"/>
      <c r="E189" s="1079"/>
      <c r="F189" s="1079"/>
      <c r="G189" s="1079"/>
      <c r="H189" s="1079"/>
      <c r="I189" s="1079"/>
      <c r="J189" s="1079"/>
      <c r="K189" s="1079"/>
      <c r="L189" s="1079"/>
      <c r="M189" s="1079"/>
      <c r="N189" s="1079"/>
    </row>
    <row r="190" spans="1:14" x14ac:dyDescent="0.25">
      <c r="A190" s="1079"/>
      <c r="B190" s="1079"/>
      <c r="C190" s="1079"/>
      <c r="D190" s="1079"/>
      <c r="E190" s="1079"/>
      <c r="F190" s="1079"/>
      <c r="G190" s="1079"/>
      <c r="H190" s="1079"/>
      <c r="I190" s="1079"/>
      <c r="J190" s="1079"/>
      <c r="K190" s="1079"/>
      <c r="L190" s="1079"/>
      <c r="M190" s="1079"/>
      <c r="N190" s="1079"/>
    </row>
    <row r="191" spans="1:14" x14ac:dyDescent="0.25">
      <c r="A191" s="1079"/>
      <c r="B191" s="1079"/>
      <c r="C191" s="1079"/>
      <c r="D191" s="1079"/>
      <c r="E191" s="1079"/>
      <c r="F191" s="1079"/>
      <c r="G191" s="1079"/>
      <c r="H191" s="1079"/>
      <c r="I191" s="1079"/>
      <c r="J191" s="1079"/>
      <c r="K191" s="1079"/>
      <c r="L191" s="1079"/>
      <c r="M191" s="1079"/>
      <c r="N191" s="1079"/>
    </row>
    <row r="192" spans="1:14" x14ac:dyDescent="0.25">
      <c r="A192" s="1079"/>
      <c r="B192" s="1079"/>
      <c r="C192" s="1079"/>
      <c r="D192" s="1079"/>
      <c r="E192" s="1079"/>
      <c r="F192" s="1079"/>
      <c r="G192" s="1079"/>
      <c r="H192" s="1079"/>
      <c r="I192" s="1079"/>
      <c r="J192" s="1079"/>
      <c r="K192" s="1079"/>
      <c r="L192" s="1079"/>
      <c r="M192" s="1079"/>
      <c r="N192" s="1079"/>
    </row>
    <row r="193" spans="1:14" x14ac:dyDescent="0.25">
      <c r="A193" s="1079"/>
      <c r="B193" s="1079"/>
      <c r="C193" s="1079"/>
      <c r="D193" s="1079"/>
      <c r="E193" s="1079"/>
      <c r="F193" s="1079"/>
      <c r="G193" s="1079"/>
      <c r="H193" s="1079"/>
      <c r="I193" s="1079"/>
      <c r="J193" s="1079"/>
      <c r="K193" s="1079"/>
      <c r="L193" s="1079"/>
      <c r="M193" s="1079"/>
      <c r="N193" s="1079"/>
    </row>
    <row r="194" spans="1:14" x14ac:dyDescent="0.25">
      <c r="A194" s="1079"/>
      <c r="B194" s="1079"/>
      <c r="C194" s="1079"/>
      <c r="D194" s="1079"/>
      <c r="E194" s="1079"/>
      <c r="F194" s="1079"/>
      <c r="G194" s="1079"/>
      <c r="H194" s="1079"/>
      <c r="I194" s="1079"/>
      <c r="J194" s="1079"/>
      <c r="K194" s="1079"/>
      <c r="L194" s="1079"/>
      <c r="M194" s="1079"/>
      <c r="N194" s="1079"/>
    </row>
    <row r="195" spans="1:14" x14ac:dyDescent="0.25">
      <c r="A195" s="1079"/>
      <c r="B195" s="1079"/>
      <c r="C195" s="1079"/>
      <c r="D195" s="1079"/>
      <c r="E195" s="1079"/>
      <c r="F195" s="1079"/>
      <c r="G195" s="1079"/>
      <c r="H195" s="1079"/>
      <c r="I195" s="1079"/>
      <c r="J195" s="1079"/>
      <c r="K195" s="1079"/>
      <c r="L195" s="1079"/>
      <c r="M195" s="1079"/>
      <c r="N195" s="1079"/>
    </row>
    <row r="196" spans="1:14" x14ac:dyDescent="0.25">
      <c r="A196" s="1079"/>
      <c r="B196" s="1079"/>
      <c r="C196" s="1079"/>
      <c r="D196" s="1079"/>
      <c r="E196" s="1079"/>
      <c r="F196" s="1079"/>
      <c r="G196" s="1079"/>
      <c r="H196" s="1079"/>
      <c r="I196" s="1079"/>
      <c r="J196" s="1079"/>
      <c r="K196" s="1079"/>
      <c r="L196" s="1079"/>
      <c r="M196" s="1079"/>
      <c r="N196" s="1079"/>
    </row>
    <row r="197" spans="1:14" x14ac:dyDescent="0.25">
      <c r="A197" s="1079"/>
      <c r="B197" s="1079"/>
      <c r="C197" s="1079"/>
      <c r="D197" s="1079"/>
      <c r="E197" s="1079"/>
      <c r="F197" s="1079"/>
      <c r="G197" s="1079"/>
      <c r="H197" s="1079"/>
      <c r="I197" s="1079"/>
      <c r="J197" s="1079"/>
      <c r="K197" s="1079"/>
      <c r="L197" s="1079"/>
      <c r="M197" s="1079"/>
      <c r="N197" s="1079"/>
    </row>
    <row r="198" spans="1:14" x14ac:dyDescent="0.25">
      <c r="A198" s="1079"/>
      <c r="B198" s="1079"/>
      <c r="C198" s="1079"/>
      <c r="D198" s="1079"/>
      <c r="E198" s="1079"/>
      <c r="F198" s="1079"/>
      <c r="G198" s="1079"/>
      <c r="H198" s="1079"/>
      <c r="I198" s="1079"/>
      <c r="J198" s="1079"/>
      <c r="K198" s="1079"/>
      <c r="L198" s="1079"/>
      <c r="M198" s="1079"/>
      <c r="N198" s="1079"/>
    </row>
    <row r="199" spans="1:14" x14ac:dyDescent="0.25">
      <c r="A199" s="1079"/>
      <c r="B199" s="1079"/>
      <c r="C199" s="1079"/>
      <c r="D199" s="1079"/>
      <c r="E199" s="1079"/>
      <c r="F199" s="1079"/>
      <c r="G199" s="1079"/>
      <c r="H199" s="1079"/>
      <c r="I199" s="1079"/>
      <c r="J199" s="1079"/>
      <c r="K199" s="1079"/>
      <c r="L199" s="1079"/>
      <c r="M199" s="1079"/>
      <c r="N199" s="1079"/>
    </row>
    <row r="200" spans="1:14" x14ac:dyDescent="0.25">
      <c r="A200" s="1079"/>
      <c r="B200" s="1079"/>
      <c r="C200" s="1079"/>
      <c r="D200" s="1079"/>
      <c r="E200" s="1079"/>
      <c r="F200" s="1079"/>
      <c r="G200" s="1079"/>
      <c r="H200" s="1079"/>
      <c r="I200" s="1079"/>
      <c r="J200" s="1079"/>
      <c r="K200" s="1079"/>
      <c r="L200" s="1079"/>
      <c r="M200" s="1079"/>
      <c r="N200" s="1079"/>
    </row>
    <row r="201" spans="1:14" x14ac:dyDescent="0.25">
      <c r="A201" s="1079"/>
      <c r="B201" s="1079"/>
      <c r="C201" s="1079"/>
      <c r="D201" s="1079"/>
      <c r="E201" s="1079"/>
      <c r="F201" s="1079"/>
      <c r="G201" s="1079"/>
      <c r="H201" s="1079"/>
      <c r="I201" s="1079"/>
      <c r="J201" s="1079"/>
      <c r="K201" s="1079"/>
      <c r="L201" s="1079"/>
      <c r="M201" s="1079"/>
      <c r="N201" s="1079"/>
    </row>
    <row r="202" spans="1:14" x14ac:dyDescent="0.25">
      <c r="A202" s="1079"/>
      <c r="B202" s="1079"/>
      <c r="C202" s="1079"/>
      <c r="D202" s="1079"/>
      <c r="E202" s="1079"/>
      <c r="F202" s="1079"/>
      <c r="G202" s="1079"/>
      <c r="H202" s="1079"/>
      <c r="I202" s="1079"/>
      <c r="J202" s="1079"/>
      <c r="K202" s="1079"/>
      <c r="L202" s="1079"/>
      <c r="M202" s="1079"/>
      <c r="N202" s="1079"/>
    </row>
    <row r="203" spans="1:14" x14ac:dyDescent="0.25">
      <c r="A203" s="1079"/>
      <c r="B203" s="1079"/>
      <c r="C203" s="1079"/>
      <c r="D203" s="1079"/>
      <c r="E203" s="1079"/>
      <c r="F203" s="1079"/>
      <c r="G203" s="1079"/>
      <c r="H203" s="1079"/>
      <c r="I203" s="1079"/>
      <c r="J203" s="1079"/>
      <c r="K203" s="1079"/>
      <c r="L203" s="1079"/>
      <c r="M203" s="1079"/>
      <c r="N203" s="1079"/>
    </row>
    <row r="204" spans="1:14" x14ac:dyDescent="0.25">
      <c r="A204" s="1079"/>
      <c r="B204" s="1079"/>
      <c r="C204" s="1079"/>
      <c r="D204" s="1079"/>
      <c r="E204" s="1079"/>
      <c r="F204" s="1079"/>
      <c r="G204" s="1079"/>
      <c r="H204" s="1079"/>
      <c r="I204" s="1079"/>
      <c r="J204" s="1079"/>
      <c r="K204" s="1079"/>
      <c r="L204" s="1079"/>
      <c r="M204" s="1079"/>
      <c r="N204" s="1079"/>
    </row>
    <row r="205" spans="1:14" x14ac:dyDescent="0.25">
      <c r="A205" s="1079"/>
      <c r="B205" s="1079"/>
      <c r="C205" s="1079"/>
      <c r="D205" s="1079"/>
      <c r="E205" s="1079"/>
      <c r="F205" s="1079"/>
      <c r="G205" s="1079"/>
      <c r="H205" s="1079"/>
      <c r="I205" s="1079"/>
      <c r="J205" s="1079"/>
      <c r="K205" s="1079"/>
      <c r="L205" s="1079"/>
      <c r="M205" s="1079"/>
      <c r="N205" s="1079"/>
    </row>
    <row r="206" spans="1:14" x14ac:dyDescent="0.25">
      <c r="A206" s="1079"/>
      <c r="B206" s="1079"/>
      <c r="C206" s="1079"/>
      <c r="D206" s="1079"/>
      <c r="E206" s="1079"/>
      <c r="F206" s="1079"/>
      <c r="G206" s="1079"/>
      <c r="H206" s="1079"/>
      <c r="I206" s="1079"/>
      <c r="J206" s="1079"/>
      <c r="K206" s="1079"/>
      <c r="L206" s="1079"/>
      <c r="M206" s="1079"/>
      <c r="N206" s="1079"/>
    </row>
    <row r="207" spans="1:14" x14ac:dyDescent="0.25">
      <c r="A207" s="1079"/>
      <c r="B207" s="1079"/>
      <c r="C207" s="1079"/>
      <c r="D207" s="1079"/>
      <c r="E207" s="1079"/>
      <c r="F207" s="1079"/>
      <c r="G207" s="1079"/>
      <c r="H207" s="1079"/>
      <c r="I207" s="1079"/>
      <c r="J207" s="1079"/>
      <c r="K207" s="1079"/>
      <c r="L207" s="1079"/>
      <c r="M207" s="1079"/>
      <c r="N207" s="1079"/>
    </row>
    <row r="208" spans="1:14" x14ac:dyDescent="0.25">
      <c r="A208" s="1079"/>
      <c r="B208" s="1079"/>
      <c r="C208" s="1079"/>
      <c r="D208" s="1079"/>
      <c r="E208" s="1079"/>
      <c r="F208" s="1079"/>
      <c r="G208" s="1079"/>
      <c r="H208" s="1079"/>
      <c r="I208" s="1079"/>
      <c r="J208" s="1079"/>
      <c r="K208" s="1079"/>
      <c r="L208" s="1079"/>
      <c r="M208" s="1079"/>
      <c r="N208" s="1079"/>
    </row>
    <row r="209" spans="1:14" x14ac:dyDescent="0.25">
      <c r="A209" s="1079"/>
      <c r="B209" s="1079"/>
      <c r="C209" s="1079"/>
      <c r="D209" s="1079"/>
      <c r="E209" s="1079"/>
      <c r="F209" s="1079"/>
      <c r="G209" s="1079"/>
      <c r="H209" s="1079"/>
      <c r="I209" s="1079"/>
      <c r="J209" s="1079"/>
      <c r="K209" s="1079"/>
      <c r="L209" s="1079"/>
      <c r="M209" s="1079"/>
      <c r="N209" s="1079"/>
    </row>
    <row r="210" spans="1:14" x14ac:dyDescent="0.25">
      <c r="A210" s="1079"/>
      <c r="B210" s="1079"/>
      <c r="C210" s="1079"/>
      <c r="D210" s="1079"/>
      <c r="E210" s="1079"/>
      <c r="F210" s="1079"/>
      <c r="G210" s="1079"/>
      <c r="H210" s="1079"/>
      <c r="I210" s="1079"/>
      <c r="J210" s="1079"/>
      <c r="K210" s="1079"/>
      <c r="L210" s="1079"/>
      <c r="M210" s="1079"/>
      <c r="N210" s="1079"/>
    </row>
    <row r="211" spans="1:14" x14ac:dyDescent="0.25">
      <c r="A211" s="1079"/>
      <c r="B211" s="1079"/>
      <c r="C211" s="1079"/>
      <c r="D211" s="1079"/>
      <c r="E211" s="1079"/>
      <c r="F211" s="1079"/>
      <c r="G211" s="1079"/>
      <c r="H211" s="1079"/>
      <c r="I211" s="1079"/>
      <c r="J211" s="1079"/>
      <c r="K211" s="1079"/>
      <c r="L211" s="1079"/>
      <c r="M211" s="1079"/>
      <c r="N211" s="1079"/>
    </row>
    <row r="212" spans="1:14" x14ac:dyDescent="0.25">
      <c r="A212" s="1079"/>
      <c r="B212" s="1079"/>
      <c r="C212" s="1079"/>
      <c r="D212" s="1079"/>
      <c r="E212" s="1079"/>
      <c r="F212" s="1079"/>
      <c r="G212" s="1079"/>
      <c r="H212" s="1079"/>
      <c r="I212" s="1079"/>
      <c r="J212" s="1080"/>
      <c r="K212" s="1080"/>
      <c r="L212" s="1080"/>
      <c r="M212" s="1080"/>
      <c r="N212" s="1080"/>
    </row>
    <row r="213" spans="1:14" x14ac:dyDescent="0.25">
      <c r="A213" s="1079"/>
      <c r="B213" s="1079"/>
      <c r="C213" s="1079"/>
      <c r="D213" s="1079"/>
      <c r="E213" s="1079"/>
      <c r="F213" s="1079"/>
      <c r="G213" s="1079"/>
      <c r="H213" s="1079"/>
      <c r="I213" s="1079"/>
    </row>
    <row r="214" spans="1:14" x14ac:dyDescent="0.25">
      <c r="A214" s="1079"/>
      <c r="B214" s="1079"/>
      <c r="C214" s="1079"/>
      <c r="D214" s="1079"/>
      <c r="E214" s="1079"/>
      <c r="F214" s="1079"/>
      <c r="G214" s="1079"/>
      <c r="H214" s="1079"/>
      <c r="I214" s="1079"/>
    </row>
    <row r="215" spans="1:14" x14ac:dyDescent="0.25">
      <c r="A215" s="1079"/>
      <c r="B215" s="1079"/>
      <c r="C215" s="1079"/>
      <c r="D215" s="1079"/>
      <c r="E215" s="1079"/>
      <c r="F215" s="1079"/>
      <c r="G215" s="1079"/>
      <c r="H215" s="1079"/>
      <c r="I215" s="1079"/>
    </row>
    <row r="216" spans="1:14" x14ac:dyDescent="0.25">
      <c r="A216" s="1079"/>
      <c r="B216" s="1079"/>
      <c r="C216" s="1079"/>
      <c r="D216" s="1079"/>
      <c r="E216" s="1079"/>
      <c r="F216" s="1079"/>
      <c r="G216" s="1079"/>
      <c r="H216" s="1079"/>
      <c r="I216" s="1079"/>
    </row>
    <row r="217" spans="1:14" x14ac:dyDescent="0.25">
      <c r="A217" s="1079"/>
      <c r="B217" s="1079"/>
      <c r="C217" s="1079"/>
      <c r="D217" s="1079"/>
      <c r="E217" s="1079"/>
      <c r="F217" s="1079"/>
      <c r="G217" s="1079"/>
      <c r="H217" s="1079"/>
      <c r="I217" s="1079"/>
    </row>
    <row r="218" spans="1:14" x14ac:dyDescent="0.25">
      <c r="A218" s="1079"/>
      <c r="B218" s="1079"/>
      <c r="C218" s="1079"/>
      <c r="D218" s="1079"/>
      <c r="E218" s="1079"/>
      <c r="F218" s="1079"/>
      <c r="G218" s="1079"/>
      <c r="H218" s="1079"/>
      <c r="I218" s="1079"/>
    </row>
    <row r="219" spans="1:14" x14ac:dyDescent="0.25">
      <c r="A219" s="1079"/>
      <c r="B219" s="1079"/>
      <c r="C219" s="1079"/>
      <c r="D219" s="1079"/>
      <c r="E219" s="1079"/>
      <c r="F219" s="1079"/>
      <c r="G219" s="1079"/>
      <c r="H219" s="1079"/>
      <c r="I219" s="1079"/>
    </row>
    <row r="220" spans="1:14" x14ac:dyDescent="0.25">
      <c r="A220" s="1079"/>
      <c r="B220" s="1079"/>
      <c r="C220" s="1079"/>
      <c r="D220" s="1079"/>
      <c r="E220" s="1079"/>
      <c r="F220" s="1079"/>
      <c r="G220" s="1079"/>
      <c r="H220" s="1079"/>
      <c r="I220" s="1079"/>
    </row>
    <row r="221" spans="1:14" x14ac:dyDescent="0.25">
      <c r="A221" s="1079"/>
      <c r="B221" s="1079"/>
      <c r="C221" s="1079"/>
      <c r="D221" s="1079"/>
      <c r="E221" s="1079"/>
      <c r="F221" s="1079"/>
      <c r="G221" s="1079"/>
      <c r="H221" s="1079"/>
      <c r="I221" s="1079"/>
    </row>
    <row r="222" spans="1:14" x14ac:dyDescent="0.25">
      <c r="A222" s="1079"/>
      <c r="B222" s="1079"/>
      <c r="C222" s="1079"/>
      <c r="D222" s="1079"/>
      <c r="E222" s="1079"/>
      <c r="F222" s="1079"/>
      <c r="G222" s="1079"/>
      <c r="H222" s="1079"/>
      <c r="I222" s="1079"/>
    </row>
    <row r="223" spans="1:14" x14ac:dyDescent="0.25">
      <c r="A223" s="1079"/>
      <c r="B223" s="1079"/>
      <c r="C223" s="1079"/>
      <c r="D223" s="1079"/>
      <c r="E223" s="1079"/>
      <c r="F223" s="1079"/>
      <c r="G223" s="1079"/>
      <c r="H223" s="1079"/>
      <c r="I223" s="1079"/>
    </row>
    <row r="224" spans="1:14" x14ac:dyDescent="0.25">
      <c r="A224" s="1079"/>
      <c r="B224" s="1079"/>
      <c r="C224" s="1079"/>
      <c r="D224" s="1079"/>
      <c r="E224" s="1079"/>
      <c r="F224" s="1079"/>
      <c r="G224" s="1079"/>
      <c r="H224" s="1079"/>
      <c r="I224" s="1079"/>
    </row>
    <row r="225" spans="1:9" x14ac:dyDescent="0.25">
      <c r="A225" s="1079"/>
      <c r="B225" s="1079"/>
      <c r="C225" s="1079"/>
      <c r="D225" s="1079"/>
      <c r="E225" s="1079"/>
      <c r="F225" s="1079"/>
      <c r="G225" s="1079"/>
      <c r="H225" s="1079"/>
      <c r="I225" s="1079"/>
    </row>
    <row r="226" spans="1:9" x14ac:dyDescent="0.25">
      <c r="A226" s="1079"/>
      <c r="B226" s="1079"/>
      <c r="C226" s="1079"/>
      <c r="D226" s="1079"/>
      <c r="E226" s="1079"/>
      <c r="F226" s="1079"/>
      <c r="G226" s="1079"/>
      <c r="H226" s="1079"/>
      <c r="I226" s="1079"/>
    </row>
    <row r="227" spans="1:9" x14ac:dyDescent="0.25">
      <c r="A227" s="1079"/>
      <c r="B227" s="1079"/>
      <c r="C227" s="1079"/>
      <c r="D227" s="1079"/>
      <c r="E227" s="1079"/>
      <c r="F227" s="1079"/>
      <c r="G227" s="1079"/>
      <c r="H227" s="1079"/>
      <c r="I227" s="1079"/>
    </row>
    <row r="228" spans="1:9" x14ac:dyDescent="0.25">
      <c r="A228" s="1079"/>
      <c r="B228" s="1079"/>
      <c r="C228" s="1079"/>
      <c r="D228" s="1079"/>
      <c r="E228" s="1079"/>
      <c r="F228" s="1079"/>
      <c r="G228" s="1079"/>
      <c r="H228" s="1079"/>
      <c r="I228" s="1079"/>
    </row>
    <row r="229" spans="1:9" x14ac:dyDescent="0.25">
      <c r="A229" s="1079"/>
      <c r="B229" s="1079"/>
      <c r="C229" s="1079"/>
      <c r="D229" s="1079"/>
      <c r="E229" s="1079"/>
      <c r="F229" s="1079"/>
      <c r="G229" s="1079"/>
      <c r="H229" s="1079"/>
      <c r="I229" s="1079"/>
    </row>
    <row r="230" spans="1:9" x14ac:dyDescent="0.25">
      <c r="A230" s="1079"/>
      <c r="B230" s="1079"/>
      <c r="C230" s="1079"/>
      <c r="D230" s="1079"/>
      <c r="E230" s="1079"/>
      <c r="F230" s="1079"/>
      <c r="G230" s="1079"/>
      <c r="H230" s="1079"/>
      <c r="I230" s="1079"/>
    </row>
    <row r="231" spans="1:9" x14ac:dyDescent="0.25">
      <c r="A231" s="1079"/>
      <c r="B231" s="1079"/>
      <c r="C231" s="1079"/>
      <c r="D231" s="1079"/>
      <c r="E231" s="1079"/>
      <c r="F231" s="1079"/>
      <c r="G231" s="1079"/>
      <c r="H231" s="1079"/>
      <c r="I231" s="1079"/>
    </row>
    <row r="232" spans="1:9" x14ac:dyDescent="0.25">
      <c r="A232" s="1079"/>
      <c r="B232" s="1079"/>
      <c r="C232" s="1079"/>
      <c r="D232" s="1079"/>
      <c r="E232" s="1079"/>
      <c r="F232" s="1079"/>
      <c r="G232" s="1079"/>
      <c r="H232" s="1079"/>
      <c r="I232" s="1079"/>
    </row>
    <row r="233" spans="1:9" x14ac:dyDescent="0.25">
      <c r="A233" s="1079"/>
      <c r="B233" s="1079"/>
      <c r="C233" s="1079"/>
      <c r="D233" s="1079"/>
      <c r="E233" s="1079"/>
      <c r="F233" s="1079"/>
      <c r="G233" s="1079"/>
      <c r="H233" s="1079"/>
      <c r="I233" s="1079"/>
    </row>
    <row r="234" spans="1:9" x14ac:dyDescent="0.25">
      <c r="A234" s="1079"/>
      <c r="B234" s="1079"/>
      <c r="C234" s="1079"/>
      <c r="D234" s="1079"/>
      <c r="E234" s="1079"/>
      <c r="F234" s="1079"/>
      <c r="G234" s="1079"/>
      <c r="H234" s="1079"/>
      <c r="I234" s="1079"/>
    </row>
    <row r="235" spans="1:9" x14ac:dyDescent="0.25">
      <c r="A235" s="1079"/>
      <c r="B235" s="1079"/>
      <c r="C235" s="1079"/>
      <c r="D235" s="1079"/>
      <c r="E235" s="1079"/>
      <c r="F235" s="1079"/>
      <c r="G235" s="1079"/>
      <c r="H235" s="1079"/>
      <c r="I235" s="1079"/>
    </row>
    <row r="236" spans="1:9" x14ac:dyDescent="0.25">
      <c r="A236" s="1079"/>
      <c r="B236" s="1079"/>
      <c r="C236" s="1079"/>
      <c r="D236" s="1079"/>
      <c r="E236" s="1079"/>
      <c r="F236" s="1079"/>
      <c r="G236" s="1079"/>
      <c r="H236" s="1079"/>
      <c r="I236" s="1079"/>
    </row>
    <row r="237" spans="1:9" x14ac:dyDescent="0.25">
      <c r="A237" s="1079"/>
      <c r="B237" s="1079"/>
      <c r="C237" s="1079"/>
      <c r="D237" s="1079"/>
      <c r="E237" s="1079"/>
      <c r="F237" s="1079"/>
      <c r="G237" s="1079"/>
      <c r="H237" s="1079"/>
      <c r="I237" s="1079"/>
    </row>
    <row r="238" spans="1:9" x14ac:dyDescent="0.25">
      <c r="A238" s="1079"/>
      <c r="B238" s="1079"/>
      <c r="C238" s="1079"/>
      <c r="D238" s="1079"/>
      <c r="E238" s="1079"/>
      <c r="F238" s="1079"/>
      <c r="G238" s="1079"/>
      <c r="H238" s="1079"/>
      <c r="I238" s="1079"/>
    </row>
    <row r="239" spans="1:9" x14ac:dyDescent="0.25">
      <c r="A239" s="1079"/>
      <c r="B239" s="1079"/>
      <c r="C239" s="1079"/>
      <c r="D239" s="1079"/>
      <c r="E239" s="1079"/>
      <c r="F239" s="1079"/>
      <c r="G239" s="1079"/>
      <c r="H239" s="1079"/>
      <c r="I239" s="1079"/>
    </row>
    <row r="240" spans="1:9" x14ac:dyDescent="0.25">
      <c r="A240" s="1079"/>
      <c r="B240" s="1079"/>
      <c r="C240" s="1079"/>
      <c r="D240" s="1079"/>
      <c r="E240" s="1079"/>
      <c r="F240" s="1079"/>
      <c r="G240" s="1079"/>
      <c r="H240" s="1079"/>
      <c r="I240" s="1079"/>
    </row>
    <row r="241" spans="1:9" x14ac:dyDescent="0.25">
      <c r="A241" s="1079"/>
      <c r="B241" s="1079"/>
      <c r="C241" s="1079"/>
      <c r="D241" s="1079"/>
      <c r="E241" s="1079"/>
      <c r="F241" s="1079"/>
      <c r="G241" s="1079"/>
      <c r="H241" s="1079"/>
      <c r="I241" s="1079"/>
    </row>
    <row r="242" spans="1:9" x14ac:dyDescent="0.25">
      <c r="A242" s="1079"/>
      <c r="B242" s="1079"/>
      <c r="C242" s="1079"/>
      <c r="D242" s="1079"/>
      <c r="E242" s="1079"/>
      <c r="F242" s="1079"/>
      <c r="G242" s="1079"/>
      <c r="H242" s="1079"/>
      <c r="I242" s="1079"/>
    </row>
    <row r="243" spans="1:9" x14ac:dyDescent="0.25">
      <c r="A243" s="1079"/>
      <c r="B243" s="1079"/>
      <c r="C243" s="1079"/>
      <c r="D243" s="1079"/>
      <c r="E243" s="1079"/>
      <c r="F243" s="1079"/>
      <c r="G243" s="1079"/>
      <c r="H243" s="1079"/>
      <c r="I243" s="1079"/>
    </row>
    <row r="244" spans="1:9" x14ac:dyDescent="0.25">
      <c r="A244" s="1079"/>
      <c r="B244" s="1079"/>
      <c r="C244" s="1079"/>
      <c r="D244" s="1079"/>
      <c r="E244" s="1079"/>
      <c r="F244" s="1079"/>
      <c r="G244" s="1079"/>
      <c r="H244" s="1079"/>
      <c r="I244" s="1079"/>
    </row>
    <row r="245" spans="1:9" x14ac:dyDescent="0.25">
      <c r="A245" s="1079"/>
      <c r="B245" s="1079"/>
      <c r="C245" s="1079"/>
      <c r="D245" s="1079"/>
      <c r="E245" s="1079"/>
      <c r="F245" s="1079"/>
      <c r="G245" s="1079"/>
      <c r="H245" s="1079"/>
      <c r="I245" s="1079"/>
    </row>
    <row r="246" spans="1:9" x14ac:dyDescent="0.25">
      <c r="A246" s="1079"/>
      <c r="B246" s="1079"/>
      <c r="C246" s="1079"/>
      <c r="D246" s="1079"/>
      <c r="E246" s="1079"/>
      <c r="F246" s="1079"/>
      <c r="G246" s="1079"/>
      <c r="H246" s="1079"/>
      <c r="I246" s="1079"/>
    </row>
    <row r="247" spans="1:9" x14ac:dyDescent="0.25">
      <c r="A247" s="1079"/>
      <c r="B247" s="1079"/>
      <c r="C247" s="1079"/>
      <c r="D247" s="1079"/>
      <c r="E247" s="1079"/>
      <c r="F247" s="1079"/>
      <c r="G247" s="1079"/>
      <c r="H247" s="1079"/>
      <c r="I247" s="1079"/>
    </row>
    <row r="248" spans="1:9" x14ac:dyDescent="0.25">
      <c r="A248" s="1079"/>
      <c r="B248" s="1079"/>
      <c r="C248" s="1079"/>
      <c r="D248" s="1079"/>
      <c r="E248" s="1079"/>
      <c r="F248" s="1079"/>
      <c r="G248" s="1079"/>
      <c r="H248" s="1079"/>
      <c r="I248" s="1079"/>
    </row>
    <row r="249" spans="1:9" x14ac:dyDescent="0.25">
      <c r="A249" s="1079"/>
      <c r="B249" s="1079"/>
      <c r="C249" s="1079"/>
      <c r="D249" s="1079"/>
      <c r="E249" s="1079"/>
      <c r="F249" s="1079"/>
      <c r="G249" s="1079"/>
      <c r="H249" s="1079"/>
      <c r="I249" s="1079"/>
    </row>
    <row r="250" spans="1:9" x14ac:dyDescent="0.25">
      <c r="A250" s="1079"/>
      <c r="B250" s="1079"/>
      <c r="C250" s="1079"/>
      <c r="D250" s="1079"/>
      <c r="E250" s="1079"/>
      <c r="F250" s="1079"/>
      <c r="G250" s="1079"/>
      <c r="H250" s="1079"/>
      <c r="I250" s="1079"/>
    </row>
    <row r="251" spans="1:9" x14ac:dyDescent="0.25">
      <c r="A251" s="1079"/>
      <c r="B251" s="1079"/>
      <c r="C251" s="1079"/>
      <c r="D251" s="1079"/>
      <c r="E251" s="1079"/>
      <c r="F251" s="1079"/>
      <c r="G251" s="1079"/>
      <c r="H251" s="1079"/>
      <c r="I251" s="1079"/>
    </row>
    <row r="252" spans="1:9" x14ac:dyDescent="0.25">
      <c r="A252" s="1079"/>
      <c r="B252" s="1079"/>
      <c r="C252" s="1079"/>
      <c r="D252" s="1079"/>
      <c r="E252" s="1079"/>
      <c r="F252" s="1079"/>
      <c r="G252" s="1079"/>
      <c r="H252" s="1079"/>
      <c r="I252" s="1079"/>
    </row>
    <row r="253" spans="1:9" x14ac:dyDescent="0.25">
      <c r="A253" s="1079"/>
      <c r="B253" s="1079"/>
      <c r="C253" s="1079"/>
      <c r="D253" s="1079"/>
      <c r="E253" s="1079"/>
      <c r="F253" s="1079"/>
      <c r="G253" s="1079"/>
      <c r="H253" s="1079"/>
      <c r="I253" s="1079"/>
    </row>
    <row r="254" spans="1:9" x14ac:dyDescent="0.25">
      <c r="A254" s="1079"/>
      <c r="B254" s="1079"/>
      <c r="C254" s="1079"/>
      <c r="D254" s="1079"/>
      <c r="E254" s="1079"/>
      <c r="F254" s="1079"/>
      <c r="G254" s="1079"/>
      <c r="H254" s="1079"/>
      <c r="I254" s="1079"/>
    </row>
    <row r="255" spans="1:9" x14ac:dyDescent="0.25">
      <c r="A255" s="1079"/>
      <c r="B255" s="1079"/>
      <c r="C255" s="1079"/>
      <c r="D255" s="1079"/>
      <c r="E255" s="1079"/>
      <c r="F255" s="1079"/>
      <c r="G255" s="1079"/>
      <c r="H255" s="1079"/>
      <c r="I255" s="1079"/>
    </row>
    <row r="256" spans="1:9" x14ac:dyDescent="0.25">
      <c r="A256" s="1079"/>
      <c r="B256" s="1079"/>
      <c r="C256" s="1079"/>
      <c r="D256" s="1079"/>
      <c r="E256" s="1079"/>
      <c r="F256" s="1079"/>
      <c r="G256" s="1079"/>
      <c r="H256" s="1079"/>
      <c r="I256" s="1079"/>
    </row>
    <row r="257" spans="1:9" x14ac:dyDescent="0.25">
      <c r="A257" s="1079"/>
      <c r="B257" s="1079"/>
      <c r="C257" s="1079"/>
      <c r="D257" s="1079"/>
      <c r="E257" s="1079"/>
      <c r="F257" s="1079"/>
      <c r="G257" s="1079"/>
      <c r="H257" s="1079"/>
      <c r="I257" s="1079"/>
    </row>
    <row r="258" spans="1:9" x14ac:dyDescent="0.25">
      <c r="A258" s="1079"/>
      <c r="B258" s="1079"/>
      <c r="C258" s="1079"/>
      <c r="D258" s="1079"/>
      <c r="E258" s="1079"/>
      <c r="F258" s="1079"/>
      <c r="G258" s="1079"/>
      <c r="H258" s="1079"/>
      <c r="I258" s="1079"/>
    </row>
    <row r="259" spans="1:9" x14ac:dyDescent="0.25">
      <c r="A259" s="1079"/>
      <c r="B259" s="1079"/>
      <c r="C259" s="1079"/>
      <c r="D259" s="1079"/>
      <c r="E259" s="1079"/>
      <c r="F259" s="1079"/>
      <c r="G259" s="1079"/>
      <c r="H259" s="1079"/>
      <c r="I259" s="1079"/>
    </row>
    <row r="260" spans="1:9" x14ac:dyDescent="0.25">
      <c r="A260" s="1079"/>
      <c r="B260" s="1079"/>
      <c r="C260" s="1079"/>
      <c r="D260" s="1079"/>
      <c r="E260" s="1079"/>
      <c r="F260" s="1079"/>
      <c r="G260" s="1079"/>
      <c r="H260" s="1079"/>
      <c r="I260" s="1079"/>
    </row>
    <row r="261" spans="1:9" x14ac:dyDescent="0.25">
      <c r="A261" s="1079"/>
      <c r="B261" s="1079"/>
      <c r="C261" s="1079"/>
      <c r="D261" s="1079"/>
      <c r="E261" s="1079"/>
      <c r="F261" s="1079"/>
      <c r="G261" s="1079"/>
      <c r="H261" s="1079"/>
      <c r="I261" s="1079"/>
    </row>
    <row r="262" spans="1:9" x14ac:dyDescent="0.25">
      <c r="A262" s="1079"/>
      <c r="B262" s="1079"/>
      <c r="C262" s="1079"/>
      <c r="D262" s="1079"/>
      <c r="E262" s="1079"/>
      <c r="F262" s="1079"/>
      <c r="G262" s="1079"/>
      <c r="H262" s="1079"/>
      <c r="I262" s="1079"/>
    </row>
    <row r="263" spans="1:9" x14ac:dyDescent="0.25">
      <c r="A263" s="1079"/>
      <c r="B263" s="1079"/>
      <c r="C263" s="1079"/>
      <c r="D263" s="1079"/>
      <c r="E263" s="1079"/>
      <c r="F263" s="1079"/>
      <c r="G263" s="1079"/>
      <c r="H263" s="1079"/>
      <c r="I263" s="1079"/>
    </row>
    <row r="264" spans="1:9" x14ac:dyDescent="0.25">
      <c r="A264" s="1079"/>
      <c r="B264" s="1079"/>
      <c r="C264" s="1079"/>
      <c r="D264" s="1079"/>
      <c r="E264" s="1079"/>
      <c r="F264" s="1079"/>
      <c r="G264" s="1079"/>
      <c r="H264" s="1079"/>
      <c r="I264" s="1079"/>
    </row>
    <row r="265" spans="1:9" x14ac:dyDescent="0.25">
      <c r="A265" s="1079"/>
      <c r="B265" s="1079"/>
      <c r="C265" s="1079"/>
      <c r="D265" s="1079"/>
      <c r="E265" s="1079"/>
      <c r="F265" s="1079"/>
      <c r="G265" s="1079"/>
      <c r="H265" s="1079"/>
      <c r="I265" s="1079"/>
    </row>
    <row r="266" spans="1:9" x14ac:dyDescent="0.25">
      <c r="A266" s="1079"/>
      <c r="B266" s="1079"/>
      <c r="C266" s="1079"/>
      <c r="D266" s="1079"/>
      <c r="E266" s="1079"/>
      <c r="F266" s="1079"/>
      <c r="G266" s="1079"/>
      <c r="H266" s="1079"/>
      <c r="I266" s="1079"/>
    </row>
    <row r="267" spans="1:9" x14ac:dyDescent="0.25">
      <c r="A267" s="1079"/>
      <c r="B267" s="1079"/>
      <c r="C267" s="1079"/>
      <c r="D267" s="1079"/>
      <c r="E267" s="1079"/>
      <c r="F267" s="1079"/>
      <c r="G267" s="1079"/>
      <c r="H267" s="1079"/>
      <c r="I267" s="1079"/>
    </row>
    <row r="268" spans="1:9" x14ac:dyDescent="0.25">
      <c r="A268" s="1079"/>
      <c r="B268" s="1079"/>
      <c r="C268" s="1079"/>
      <c r="D268" s="1079"/>
      <c r="E268" s="1079"/>
      <c r="F268" s="1079"/>
      <c r="G268" s="1079"/>
      <c r="H268" s="1079"/>
      <c r="I268" s="1079"/>
    </row>
    <row r="269" spans="1:9" x14ac:dyDescent="0.25">
      <c r="A269" s="1079"/>
      <c r="B269" s="1079"/>
      <c r="C269" s="1079"/>
      <c r="D269" s="1079"/>
      <c r="E269" s="1079"/>
      <c r="F269" s="1079"/>
      <c r="G269" s="1079"/>
      <c r="H269" s="1079"/>
      <c r="I269" s="1079"/>
    </row>
    <row r="270" spans="1:9" x14ac:dyDescent="0.25">
      <c r="A270" s="1079"/>
      <c r="B270" s="1079"/>
      <c r="C270" s="1079"/>
      <c r="D270" s="1079"/>
      <c r="E270" s="1079"/>
      <c r="F270" s="1079"/>
      <c r="G270" s="1079"/>
      <c r="H270" s="1079"/>
      <c r="I270" s="1079"/>
    </row>
    <row r="271" spans="1:9" x14ac:dyDescent="0.25">
      <c r="A271" s="1079"/>
      <c r="B271" s="1079"/>
      <c r="C271" s="1079"/>
      <c r="D271" s="1079"/>
      <c r="E271" s="1079"/>
      <c r="F271" s="1079"/>
      <c r="G271" s="1079"/>
      <c r="H271" s="1079"/>
      <c r="I271" s="1079"/>
    </row>
    <row r="272" spans="1:9" x14ac:dyDescent="0.25">
      <c r="A272" s="1079"/>
      <c r="B272" s="1079"/>
      <c r="C272" s="1079"/>
      <c r="D272" s="1079"/>
      <c r="E272" s="1079"/>
      <c r="F272" s="1079"/>
      <c r="G272" s="1079"/>
      <c r="H272" s="1079"/>
      <c r="I272" s="1079"/>
    </row>
    <row r="273" spans="1:9" x14ac:dyDescent="0.25">
      <c r="A273" s="1079"/>
      <c r="B273" s="1079"/>
      <c r="C273" s="1079"/>
      <c r="D273" s="1079"/>
      <c r="E273" s="1079"/>
      <c r="F273" s="1079"/>
      <c r="G273" s="1079"/>
      <c r="H273" s="1079"/>
      <c r="I273" s="1079"/>
    </row>
    <row r="274" spans="1:9" x14ac:dyDescent="0.25">
      <c r="A274" s="1079"/>
      <c r="B274" s="1079"/>
      <c r="C274" s="1079"/>
      <c r="D274" s="1079"/>
      <c r="E274" s="1079"/>
      <c r="F274" s="1079"/>
      <c r="G274" s="1079"/>
      <c r="H274" s="1079"/>
      <c r="I274" s="1079"/>
    </row>
    <row r="275" spans="1:9" x14ac:dyDescent="0.25">
      <c r="A275" s="1079"/>
      <c r="B275" s="1079"/>
      <c r="C275" s="1079"/>
      <c r="D275" s="1079"/>
      <c r="E275" s="1079"/>
      <c r="F275" s="1079"/>
      <c r="G275" s="1079"/>
      <c r="H275" s="1079"/>
      <c r="I275" s="1079"/>
    </row>
    <row r="276" spans="1:9" x14ac:dyDescent="0.25">
      <c r="A276" s="1079"/>
      <c r="B276" s="1079"/>
      <c r="C276" s="1079"/>
      <c r="D276" s="1079"/>
      <c r="E276" s="1079"/>
      <c r="F276" s="1079"/>
      <c r="G276" s="1079"/>
      <c r="H276" s="1079"/>
      <c r="I276" s="1079"/>
    </row>
    <row r="277" spans="1:9" x14ac:dyDescent="0.25">
      <c r="A277" s="1079"/>
      <c r="B277" s="1079"/>
      <c r="C277" s="1079"/>
      <c r="D277" s="1079"/>
      <c r="E277" s="1079"/>
      <c r="F277" s="1079"/>
      <c r="G277" s="1079"/>
      <c r="H277" s="1079"/>
      <c r="I277" s="1079"/>
    </row>
    <row r="278" spans="1:9" x14ac:dyDescent="0.25">
      <c r="A278" s="1079"/>
      <c r="B278" s="1079"/>
      <c r="C278" s="1079"/>
      <c r="D278" s="1079"/>
      <c r="E278" s="1079"/>
      <c r="F278" s="1079"/>
      <c r="G278" s="1079"/>
      <c r="H278" s="1079"/>
      <c r="I278" s="1079"/>
    </row>
    <row r="279" spans="1:9" x14ac:dyDescent="0.25">
      <c r="A279" s="1079"/>
      <c r="B279" s="1079"/>
      <c r="C279" s="1079"/>
      <c r="D279" s="1079"/>
      <c r="E279" s="1079"/>
      <c r="F279" s="1079"/>
      <c r="G279" s="1079"/>
      <c r="H279" s="1079"/>
      <c r="I279" s="1079"/>
    </row>
    <row r="280" spans="1:9" x14ac:dyDescent="0.25">
      <c r="A280" s="1079"/>
      <c r="B280" s="1079"/>
      <c r="C280" s="1079"/>
      <c r="D280" s="1079"/>
      <c r="E280" s="1079"/>
      <c r="F280" s="1079"/>
      <c r="G280" s="1079"/>
      <c r="H280" s="1079"/>
      <c r="I280" s="1079"/>
    </row>
    <row r="281" spans="1:9" x14ac:dyDescent="0.25">
      <c r="A281" s="1079"/>
      <c r="B281" s="1079"/>
      <c r="C281" s="1079"/>
      <c r="D281" s="1079"/>
      <c r="E281" s="1079"/>
      <c r="F281" s="1079"/>
      <c r="G281" s="1079"/>
      <c r="H281" s="1079"/>
      <c r="I281" s="1079"/>
    </row>
    <row r="282" spans="1:9" x14ac:dyDescent="0.25">
      <c r="A282" s="1079"/>
      <c r="B282" s="1079"/>
      <c r="C282" s="1079"/>
      <c r="D282" s="1079"/>
      <c r="E282" s="1079"/>
      <c r="F282" s="1079"/>
      <c r="G282" s="1079"/>
      <c r="H282" s="1079"/>
      <c r="I282" s="1079"/>
    </row>
    <row r="283" spans="1:9" x14ac:dyDescent="0.25">
      <c r="A283" s="1079"/>
      <c r="B283" s="1079"/>
      <c r="C283" s="1079"/>
      <c r="D283" s="1079"/>
      <c r="E283" s="1079"/>
      <c r="F283" s="1079"/>
      <c r="G283" s="1079"/>
      <c r="H283" s="1079"/>
      <c r="I283" s="1079"/>
    </row>
  </sheetData>
  <hyperlinks>
    <hyperlink ref="B4" location="BR_A0001" display="BR_A0001" xr:uid="{00000000-0004-0000-8B00-000000000000}"/>
    <hyperlink ref="E3" location="'dSU 13001'!A1" display="Drawing" xr:uid="{00000000-0004-0000-8B00-000001000000}"/>
    <hyperlink ref="F2" location="SU_A1300_BOM" display="Back to BOM" xr:uid="{00000000-0004-0000-8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0-000000000000}">
  <sheetPr>
    <tabColor rgb="FFFFFF66"/>
    <pageSetUpPr fitToPage="1"/>
  </sheetPr>
  <dimension ref="A1:B1"/>
  <sheetViews>
    <sheetView zoomScaleNormal="100" zoomScalePageLayoutView="70" workbookViewId="0">
      <selection activeCell="K13" sqref="K13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0" t="str">
        <f>SU_13001</f>
        <v>SU 13001</v>
      </c>
    </row>
  </sheetData>
  <hyperlinks>
    <hyperlink ref="B1" location="SU_13001" display="SU_13001" xr:uid="{D862DF02-32F5-4AFF-BD71-7A94701D7B01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0-000000000000}">
  <sheetPr>
    <tabColor rgb="FFFFFF66"/>
    <pageSetUpPr fitToPage="1"/>
  </sheetPr>
  <dimension ref="A1:P40"/>
  <sheetViews>
    <sheetView zoomScale="70" zoomScaleNormal="70" zoomScalePageLayoutView="70" workbookViewId="0">
      <selection activeCell="B6" sqref="B6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36.42578125" customWidth="1"/>
    <col min="5" max="5" width="15.28515625" customWidth="1"/>
    <col min="7" max="7" width="43.28515625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SU_13002_m+SU_13002_p</f>
        <v>0.36380753801370747</v>
      </c>
      <c r="O2" s="62"/>
    </row>
    <row r="3" spans="1:16" x14ac:dyDescent="0.25">
      <c r="A3" s="99" t="s">
        <v>3</v>
      </c>
      <c r="B3" s="16" t="str">
        <f>'SU A1300'!B3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6" x14ac:dyDescent="0.25">
      <c r="A4" s="99" t="s">
        <v>5</v>
      </c>
      <c r="B4" s="87" t="str">
        <f>'SU A1300'!B4</f>
        <v>Rear Pushrod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544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1.4552301520548299</v>
      </c>
      <c r="O5" s="62"/>
    </row>
    <row r="6" spans="1:16" x14ac:dyDescent="0.25">
      <c r="A6" s="99" t="s">
        <v>7</v>
      </c>
      <c r="B6" t="s">
        <v>545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97" t="s">
        <v>23</v>
      </c>
      <c r="G10" s="1097" t="s">
        <v>24</v>
      </c>
      <c r="H10" s="1097" t="s">
        <v>25</v>
      </c>
      <c r="I10" s="1097" t="s">
        <v>26</v>
      </c>
      <c r="J10" s="1097" t="s">
        <v>27</v>
      </c>
      <c r="K10" s="1097" t="s">
        <v>28</v>
      </c>
      <c r="L10" s="1097" t="s">
        <v>29</v>
      </c>
      <c r="M10" s="1097" t="s">
        <v>17</v>
      </c>
      <c r="N10" s="1097" t="s">
        <v>18</v>
      </c>
      <c r="O10" s="62"/>
    </row>
    <row r="11" spans="1:16" x14ac:dyDescent="0.25">
      <c r="A11" s="1098">
        <v>10</v>
      </c>
      <c r="B11" s="1099" t="s">
        <v>301</v>
      </c>
      <c r="C11" s="1100" t="s">
        <v>416</v>
      </c>
      <c r="D11" s="1101">
        <v>2.25</v>
      </c>
      <c r="E11" s="1102">
        <f>L11*J11*K11</f>
        <v>9.4700168949810731E-3</v>
      </c>
      <c r="F11" s="1100" t="s">
        <v>141</v>
      </c>
      <c r="G11" s="1100"/>
      <c r="H11" s="1103"/>
      <c r="I11" s="910" t="s">
        <v>415</v>
      </c>
      <c r="J11" s="960">
        <f>PI()*8*8/1000000</f>
        <v>2.0106192982974677E-4</v>
      </c>
      <c r="K11" s="960">
        <v>6.0000000000000001E-3</v>
      </c>
      <c r="L11" s="663">
        <v>7850</v>
      </c>
      <c r="M11" s="23">
        <v>1</v>
      </c>
      <c r="N11" s="272">
        <f>IF(J11="",D11*M11,D11*J11*K11*L11*M11)</f>
        <v>2.1307538013707415E-2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2.1307538013707415E-2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25">
      <c r="A15" s="1109">
        <v>10</v>
      </c>
      <c r="B15" s="1064" t="s">
        <v>344</v>
      </c>
      <c r="C15" s="1064"/>
      <c r="D15" s="1062">
        <v>1.3</v>
      </c>
      <c r="E15" s="1064" t="s">
        <v>35</v>
      </c>
      <c r="F15" s="1064">
        <v>1</v>
      </c>
      <c r="G15" s="1064" t="s">
        <v>525</v>
      </c>
      <c r="H15" s="1064">
        <f>1/8</f>
        <v>0.125</v>
      </c>
      <c r="I15" s="1062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09">
        <v>20</v>
      </c>
      <c r="B16" s="1064" t="s">
        <v>92</v>
      </c>
      <c r="C16" s="1064"/>
      <c r="D16" s="1062">
        <v>0.04</v>
      </c>
      <c r="E16" s="1064" t="s">
        <v>93</v>
      </c>
      <c r="F16" s="1064">
        <v>1.5</v>
      </c>
      <c r="G16" s="1064" t="s">
        <v>339</v>
      </c>
      <c r="H16" s="1064">
        <v>3</v>
      </c>
      <c r="I16" s="1062">
        <f>D16*F16*H16</f>
        <v>0.18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3"/>
      <c r="B22" s="923"/>
      <c r="C22" s="923"/>
      <c r="D22" s="923"/>
      <c r="E22" s="923"/>
      <c r="F22" s="923"/>
      <c r="G22" s="923"/>
      <c r="H22" s="923"/>
      <c r="I22" s="923"/>
      <c r="J22" s="923"/>
      <c r="K22" s="923"/>
      <c r="L22" s="923"/>
      <c r="M22" s="923"/>
      <c r="N22" s="923"/>
      <c r="O22" s="923"/>
      <c r="P22" s="923"/>
    </row>
    <row r="23" spans="1:16" x14ac:dyDescent="0.25">
      <c r="A23" s="923"/>
      <c r="B23" s="928"/>
      <c r="C23" s="924"/>
      <c r="D23" s="924"/>
      <c r="E23" s="924"/>
      <c r="F23" s="924"/>
      <c r="G23" s="944"/>
      <c r="H23" s="924"/>
      <c r="I23" s="924"/>
      <c r="J23" s="924"/>
      <c r="K23" s="947"/>
      <c r="L23" s="927"/>
      <c r="M23" s="924"/>
      <c r="N23" s="928"/>
      <c r="O23" s="935"/>
      <c r="P23" s="923"/>
    </row>
    <row r="24" spans="1:16" x14ac:dyDescent="0.25">
      <c r="A24" s="923"/>
      <c r="B24" s="928"/>
      <c r="C24" s="924"/>
      <c r="D24" s="1110"/>
      <c r="E24" s="944"/>
      <c r="F24" s="924"/>
      <c r="G24" s="924"/>
      <c r="H24" s="924"/>
      <c r="I24" s="924"/>
      <c r="J24" s="924"/>
      <c r="K24" s="924"/>
      <c r="L24" s="924"/>
      <c r="M24" s="924"/>
      <c r="N24" s="928"/>
      <c r="O24" s="945"/>
      <c r="P24" s="923"/>
    </row>
    <row r="25" spans="1:16" x14ac:dyDescent="0.25">
      <c r="A25" s="923"/>
      <c r="B25" s="928"/>
      <c r="C25" s="944"/>
      <c r="D25" s="924"/>
      <c r="E25" s="928"/>
      <c r="F25" s="924"/>
      <c r="G25" s="924"/>
      <c r="H25" s="924"/>
      <c r="I25" s="924"/>
      <c r="J25" s="924"/>
      <c r="K25" s="928"/>
      <c r="L25" s="924"/>
      <c r="M25" s="924"/>
      <c r="N25" s="924"/>
      <c r="O25" s="1111"/>
      <c r="P25" s="923"/>
    </row>
    <row r="26" spans="1:16" x14ac:dyDescent="0.25">
      <c r="A26" s="923"/>
      <c r="B26" s="928"/>
      <c r="C26" s="943"/>
      <c r="D26" s="924"/>
      <c r="E26" s="928"/>
      <c r="F26" s="924"/>
      <c r="G26" s="924"/>
      <c r="H26" s="924"/>
      <c r="I26" s="924"/>
      <c r="J26" s="924"/>
      <c r="K26" s="928"/>
      <c r="L26" s="924"/>
      <c r="M26" s="924"/>
      <c r="N26" s="928"/>
      <c r="O26" s="935"/>
      <c r="P26" s="923"/>
    </row>
    <row r="27" spans="1:16" x14ac:dyDescent="0.25">
      <c r="A27" s="923"/>
      <c r="B27" s="928"/>
      <c r="C27" s="942"/>
      <c r="D27" s="924"/>
      <c r="E27" s="924"/>
      <c r="F27" s="924"/>
      <c r="G27" s="924"/>
      <c r="H27" s="924"/>
      <c r="I27" s="924"/>
      <c r="J27" s="924"/>
      <c r="K27" s="928"/>
      <c r="L27" s="924"/>
      <c r="M27" s="924"/>
      <c r="N27" s="924"/>
      <c r="O27" s="924"/>
      <c r="P27" s="923"/>
    </row>
    <row r="28" spans="1:16" x14ac:dyDescent="0.25">
      <c r="A28" s="923"/>
      <c r="B28" s="928"/>
      <c r="C28" s="924"/>
      <c r="D28" s="924"/>
      <c r="E28" s="924"/>
      <c r="F28" s="924"/>
      <c r="G28" s="924"/>
      <c r="H28" s="924"/>
      <c r="I28" s="924"/>
      <c r="J28" s="924"/>
      <c r="K28" s="924"/>
      <c r="L28" s="924"/>
      <c r="M28" s="924"/>
      <c r="N28" s="924"/>
      <c r="O28" s="924"/>
      <c r="P28" s="923"/>
    </row>
    <row r="29" spans="1:16" x14ac:dyDescent="0.25">
      <c r="A29" s="923"/>
      <c r="B29" s="928"/>
      <c r="C29" s="1111"/>
      <c r="D29" s="1111"/>
      <c r="E29" s="1111"/>
      <c r="F29" s="1111"/>
      <c r="G29" s="1111"/>
      <c r="H29" s="1111"/>
      <c r="I29" s="1111"/>
      <c r="J29" s="1111"/>
      <c r="K29" s="1111"/>
      <c r="L29" s="1111"/>
      <c r="M29" s="1111"/>
      <c r="N29" s="1111"/>
      <c r="O29" s="1111"/>
      <c r="P29" s="923"/>
    </row>
    <row r="30" spans="1:16" x14ac:dyDescent="0.25">
      <c r="A30" s="923"/>
      <c r="B30" s="923"/>
      <c r="C30" s="923"/>
      <c r="D30" s="923"/>
      <c r="E30" s="923"/>
      <c r="F30" s="923"/>
      <c r="G30" s="923"/>
      <c r="H30" s="923"/>
      <c r="I30" s="923"/>
      <c r="J30" s="923"/>
      <c r="K30" s="923"/>
      <c r="L30" s="923"/>
      <c r="M30" s="923"/>
      <c r="N30" s="923"/>
      <c r="O30" s="923"/>
      <c r="P30" s="923"/>
    </row>
    <row r="31" spans="1:16" x14ac:dyDescent="0.25">
      <c r="A31" s="923"/>
      <c r="B31" s="928"/>
      <c r="C31" s="928"/>
      <c r="D31" s="928"/>
      <c r="E31" s="928"/>
      <c r="F31" s="928"/>
      <c r="G31" s="928"/>
      <c r="H31" s="928"/>
      <c r="I31" s="928"/>
      <c r="J31" s="928"/>
      <c r="K31" s="928"/>
      <c r="L31" s="928"/>
      <c r="M31" s="928"/>
      <c r="N31" s="928"/>
      <c r="O31" s="928"/>
      <c r="P31" s="923"/>
    </row>
    <row r="32" spans="1:16" x14ac:dyDescent="0.25">
      <c r="A32" s="923"/>
      <c r="B32" s="924"/>
      <c r="C32" s="924"/>
      <c r="D32" s="924"/>
      <c r="E32" s="931"/>
      <c r="F32" s="941"/>
      <c r="G32" s="924"/>
      <c r="H32" s="924"/>
      <c r="I32" s="940"/>
      <c r="J32" s="939"/>
      <c r="K32" s="938"/>
      <c r="L32" s="937"/>
      <c r="M32" s="936"/>
      <c r="N32" s="936"/>
      <c r="O32" s="935"/>
      <c r="P32" s="923"/>
    </row>
    <row r="33" spans="1:16" x14ac:dyDescent="0.25">
      <c r="A33" s="923"/>
      <c r="B33" s="928"/>
      <c r="C33" s="928"/>
      <c r="D33" s="928"/>
      <c r="E33" s="928"/>
      <c r="F33" s="928"/>
      <c r="G33" s="928"/>
      <c r="H33" s="928"/>
      <c r="I33" s="928"/>
      <c r="J33" s="928"/>
      <c r="K33" s="928"/>
      <c r="L33" s="928"/>
      <c r="M33" s="928"/>
      <c r="N33" s="930"/>
      <c r="O33" s="929"/>
      <c r="P33" s="923"/>
    </row>
    <row r="34" spans="1:16" x14ac:dyDescent="0.25">
      <c r="A34" s="923"/>
      <c r="B34" s="923"/>
      <c r="C34" s="923"/>
      <c r="D34" s="923"/>
      <c r="E34" s="923"/>
      <c r="F34" s="923"/>
      <c r="G34" s="923"/>
      <c r="H34" s="923"/>
      <c r="I34" s="923"/>
      <c r="J34" s="923"/>
      <c r="K34" s="923"/>
      <c r="L34" s="923"/>
      <c r="M34" s="923"/>
      <c r="N34" s="923"/>
      <c r="O34" s="923"/>
      <c r="P34" s="923"/>
    </row>
    <row r="35" spans="1:16" x14ac:dyDescent="0.25">
      <c r="A35" s="923"/>
      <c r="B35" s="928"/>
      <c r="C35" s="928"/>
      <c r="D35" s="928"/>
      <c r="E35" s="928"/>
      <c r="F35" s="928"/>
      <c r="G35" s="928"/>
      <c r="H35" s="928"/>
      <c r="I35" s="928"/>
      <c r="J35" s="928"/>
      <c r="K35" s="928"/>
      <c r="L35" s="928"/>
      <c r="M35" s="928"/>
      <c r="N35" s="928"/>
      <c r="O35" s="928"/>
      <c r="P35" s="923"/>
    </row>
    <row r="36" spans="1:16" x14ac:dyDescent="0.25">
      <c r="A36" s="923"/>
      <c r="B36" s="924"/>
      <c r="C36" s="658"/>
      <c r="D36" s="934"/>
      <c r="E36" s="931"/>
      <c r="F36" s="924"/>
      <c r="G36" s="924"/>
      <c r="H36" s="932"/>
      <c r="I36" s="933"/>
      <c r="J36" s="931"/>
      <c r="K36" s="1111"/>
      <c r="L36" s="1111"/>
      <c r="M36" s="1111"/>
      <c r="N36" s="1111"/>
      <c r="O36" s="1111"/>
      <c r="P36" s="923"/>
    </row>
    <row r="37" spans="1:16" x14ac:dyDescent="0.25">
      <c r="A37" s="923"/>
      <c r="B37" s="924"/>
      <c r="C37" s="658"/>
      <c r="D37" s="934"/>
      <c r="E37" s="931"/>
      <c r="F37" s="924"/>
      <c r="G37" s="933"/>
      <c r="H37" s="932"/>
      <c r="I37" s="924"/>
      <c r="J37" s="931"/>
      <c r="K37" s="1111"/>
      <c r="L37" s="1111"/>
      <c r="M37" s="1111"/>
      <c r="N37" s="1111"/>
      <c r="O37" s="1111"/>
      <c r="P37" s="923"/>
    </row>
    <row r="38" spans="1:16" x14ac:dyDescent="0.25">
      <c r="A38" s="923"/>
      <c r="B38" s="928"/>
      <c r="C38" s="928"/>
      <c r="D38" s="928"/>
      <c r="E38" s="928"/>
      <c r="F38" s="928"/>
      <c r="G38" s="928"/>
      <c r="H38" s="928"/>
      <c r="I38" s="930"/>
      <c r="J38" s="929"/>
      <c r="K38" s="928"/>
      <c r="L38" s="928"/>
      <c r="M38" s="928"/>
      <c r="N38" s="928"/>
      <c r="O38" s="928"/>
      <c r="P38" s="923"/>
    </row>
    <row r="39" spans="1:16" x14ac:dyDescent="0.25">
      <c r="A39" s="923"/>
      <c r="B39" s="1111"/>
      <c r="C39" s="1111"/>
      <c r="D39" s="1111"/>
      <c r="E39" s="1111"/>
      <c r="F39" s="1111"/>
      <c r="G39" s="1111"/>
      <c r="H39" s="1111"/>
      <c r="I39" s="927"/>
      <c r="J39" s="926"/>
      <c r="K39" s="1111"/>
      <c r="L39" s="924"/>
      <c r="M39" s="924"/>
      <c r="N39" s="924"/>
      <c r="O39" s="924"/>
      <c r="P39" s="923"/>
    </row>
    <row r="40" spans="1:16" x14ac:dyDescent="0.25">
      <c r="B40" s="922"/>
      <c r="C40" s="922"/>
      <c r="D40" s="922"/>
      <c r="E40" s="922"/>
      <c r="F40" s="922"/>
      <c r="G40" s="922"/>
      <c r="H40" s="922"/>
      <c r="I40" s="922"/>
      <c r="J40" s="922"/>
      <c r="K40" s="922"/>
      <c r="L40" s="922"/>
      <c r="M40" s="922"/>
      <c r="N40" s="922"/>
      <c r="O40" s="922"/>
    </row>
  </sheetData>
  <hyperlinks>
    <hyperlink ref="B4" location="BR_A0001" display="BR_A0001" xr:uid="{00000000-0004-0000-8D00-000000000000}"/>
    <hyperlink ref="G2" location="SU_A1300_BOM" display="Back to BOM" xr:uid="{00000000-0004-0000-8D00-000001000000}"/>
    <hyperlink ref="E3" location="dSU_13002" display="Drawing" xr:uid="{00000000-0004-0000-8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2" fitToHeight="99" orientation="landscape" r:id="rId1"/>
  <headerFooter>
    <oddFooter>Page &amp;P</oddFooter>
  </headerFooter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0-000000000000}">
  <sheetPr>
    <tabColor rgb="FFFFFF66"/>
    <pageSetUpPr fitToPage="1"/>
  </sheetPr>
  <dimension ref="A1:B1"/>
  <sheetViews>
    <sheetView zoomScaleNormal="100" zoomScalePageLayoutView="70" workbookViewId="0">
      <selection activeCell="B1" sqref="B1"/>
    </sheetView>
  </sheetViews>
  <sheetFormatPr baseColWidth="10" defaultRowHeight="15" x14ac:dyDescent="0.25"/>
  <sheetData>
    <row r="1" spans="1:2" x14ac:dyDescent="0.25">
      <c r="A1" t="s">
        <v>230</v>
      </c>
      <c r="B1" s="270" t="s">
        <v>546</v>
      </c>
    </row>
  </sheetData>
  <hyperlinks>
    <hyperlink ref="B1" location="SU_13002" display="SU_13002" xr:uid="{00000000-0004-0000-8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FF66"/>
    <pageSetUpPr fitToPage="1"/>
  </sheetPr>
  <dimension ref="A1:O22"/>
  <sheetViews>
    <sheetView zoomScaleNormal="100" zoomScalePageLayoutView="70" workbookViewId="0">
      <selection activeCell="F8" sqref="F8"/>
    </sheetView>
  </sheetViews>
  <sheetFormatPr baseColWidth="10" defaultRowHeight="15" x14ac:dyDescent="0.25"/>
  <cols>
    <col min="2" max="2" width="21.28515625" customWidth="1"/>
    <col min="3" max="3" width="17.42578125" customWidth="1"/>
    <col min="4" max="4" width="9.5703125" customWidth="1"/>
    <col min="5" max="5" width="8" customWidth="1"/>
    <col min="7" max="7" width="16.28515625" customWidth="1"/>
    <col min="8" max="8" width="8.7109375" customWidth="1"/>
    <col min="10" max="10" width="9.7109375" customWidth="1"/>
    <col min="13" max="13" width="12.710937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414" t="s">
        <v>37</v>
      </c>
      <c r="C2" s="397"/>
      <c r="D2" s="397"/>
      <c r="E2" s="397"/>
      <c r="F2" s="266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SU_01008_m+SU_01008_p</f>
        <v>1.3930602499999998</v>
      </c>
      <c r="O2" s="416"/>
    </row>
    <row r="3" spans="1:15" x14ac:dyDescent="0.25">
      <c r="A3" s="413" t="s">
        <v>3</v>
      </c>
      <c r="B3" s="414" t="str">
        <f>'SU A0100'!B3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417" t="str">
        <f>'SU A0100'!B4</f>
        <v>Upper Front A-arm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215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SU_01008_q*N2</f>
        <v>1.3930602499999998</v>
      </c>
      <c r="O5" s="416"/>
    </row>
    <row r="6" spans="1:15" x14ac:dyDescent="0.25">
      <c r="A6" s="413" t="s">
        <v>7</v>
      </c>
      <c r="B6" s="419" t="s">
        <v>211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28.9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5.3537000000000001E-2</v>
      </c>
      <c r="F11" s="425" t="s">
        <v>141</v>
      </c>
      <c r="G11" s="425"/>
      <c r="H11" s="426"/>
      <c r="I11" s="427" t="s">
        <v>206</v>
      </c>
      <c r="J11" s="428">
        <f>0.062*0.022</f>
        <v>1.364E-3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0.12045825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2.728E-3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2.7279999999999999E-2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0.14773825000000002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4.15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13.6</v>
      </c>
      <c r="G17" s="433"/>
      <c r="H17" s="436"/>
      <c r="I17" s="437">
        <f>IF(H17="",D17*F17,D17*F17*H17)</f>
        <v>0.13600000000000001</v>
      </c>
      <c r="J17" s="294"/>
      <c r="K17" s="397"/>
      <c r="L17" s="397"/>
      <c r="M17" s="397"/>
      <c r="N17" s="397"/>
      <c r="O17" s="416"/>
    </row>
    <row r="18" spans="1:15" ht="29.45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2.728E-3</v>
      </c>
      <c r="G20" s="433"/>
      <c r="H20" s="436"/>
      <c r="I20" s="444">
        <f>F20*D20</f>
        <v>1.4322E-2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1.2453219999999998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F2" location="SU_A0100_BOM" display="Back to BOM" xr:uid="{00000000-0004-0000-0E00-000000000000}"/>
    <hyperlink ref="B4" location="'SU A0100'!A1" display="'SU A0100'!A1" xr:uid="{00000000-0004-0000-0E00-000001000000}"/>
    <hyperlink ref="E3" location="dSU_01008" display="Drawing" xr:uid="{00000000-0004-0000-0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FF66"/>
    <pageSetUpPr fitToPage="1"/>
  </sheetPr>
  <dimension ref="A1:L5"/>
  <sheetViews>
    <sheetView zoomScaleNormal="100" zoomScalePageLayoutView="70" workbookViewId="0">
      <selection activeCell="B1" sqref="B1"/>
    </sheetView>
  </sheetViews>
  <sheetFormatPr baseColWidth="10" defaultRowHeight="15" x14ac:dyDescent="0.25"/>
  <cols>
    <col min="1" max="1" width="13.28515625" customWidth="1"/>
  </cols>
  <sheetData>
    <row r="1" spans="1:12" x14ac:dyDescent="0.25">
      <c r="A1" t="s">
        <v>124</v>
      </c>
      <c r="B1" s="270" t="s">
        <v>211</v>
      </c>
    </row>
    <row r="5" spans="1:12" x14ac:dyDescent="0.25">
      <c r="L5" s="287"/>
    </row>
  </sheetData>
  <hyperlinks>
    <hyperlink ref="B1" location="SU_01008" display="SU_01008" xr:uid="{00000000-0004-0000-0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FFFF66"/>
    <pageSetUpPr fitToPage="1"/>
  </sheetPr>
  <dimension ref="A1:O22"/>
  <sheetViews>
    <sheetView topLeftCell="A4" zoomScaleNormal="100" zoomScalePageLayoutView="70" workbookViewId="0">
      <selection activeCell="E2" sqref="E2"/>
    </sheetView>
  </sheetViews>
  <sheetFormatPr baseColWidth="10" defaultRowHeight="15" x14ac:dyDescent="0.25"/>
  <cols>
    <col min="3" max="3" width="18.28515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300" t="s">
        <v>0</v>
      </c>
      <c r="B2" s="16" t="s">
        <v>37</v>
      </c>
      <c r="C2" s="258"/>
      <c r="D2" s="258"/>
      <c r="E2" s="258"/>
      <c r="F2" s="266" t="s">
        <v>62</v>
      </c>
      <c r="G2" s="258"/>
      <c r="H2" s="258"/>
      <c r="I2" s="258"/>
      <c r="J2" s="99" t="s">
        <v>1</v>
      </c>
      <c r="K2" s="262">
        <v>81</v>
      </c>
      <c r="L2" s="258"/>
      <c r="M2" s="286" t="s">
        <v>16</v>
      </c>
      <c r="N2" s="400">
        <f>SU_01009_m+SU_01009_p</f>
        <v>1.3590899374999998</v>
      </c>
      <c r="O2" s="259"/>
    </row>
    <row r="3" spans="1:15" x14ac:dyDescent="0.25">
      <c r="A3" s="300" t="s">
        <v>3</v>
      </c>
      <c r="B3" s="16" t="str">
        <f>'SU A0100'!B3</f>
        <v>Suspension &amp; Shocks</v>
      </c>
      <c r="C3" s="262"/>
      <c r="D3" s="333" t="s">
        <v>6</v>
      </c>
      <c r="E3" s="270" t="s">
        <v>60</v>
      </c>
      <c r="F3" s="258"/>
      <c r="G3" s="258"/>
      <c r="H3" s="258"/>
      <c r="I3" s="258"/>
      <c r="J3" s="258"/>
      <c r="K3" s="258"/>
      <c r="L3" s="258"/>
      <c r="M3" s="286" t="s">
        <v>4</v>
      </c>
      <c r="N3" s="263">
        <v>1</v>
      </c>
      <c r="O3" s="259"/>
    </row>
    <row r="4" spans="1:15" x14ac:dyDescent="0.25">
      <c r="A4" s="300" t="s">
        <v>5</v>
      </c>
      <c r="B4" s="87" t="str">
        <f>'SU A0100'!B4</f>
        <v>Upper Front A-arm</v>
      </c>
      <c r="C4" s="258"/>
      <c r="D4" s="333" t="s">
        <v>8</v>
      </c>
      <c r="E4" s="335"/>
      <c r="F4" s="258"/>
      <c r="G4" s="258"/>
      <c r="H4" s="258"/>
      <c r="I4" s="258"/>
      <c r="J4" s="99" t="s">
        <v>6</v>
      </c>
      <c r="K4" s="258"/>
      <c r="L4" s="258"/>
      <c r="M4" s="258"/>
      <c r="N4" s="258"/>
      <c r="O4" s="259"/>
    </row>
    <row r="5" spans="1:15" x14ac:dyDescent="0.25">
      <c r="A5" s="300" t="s">
        <v>15</v>
      </c>
      <c r="B5" s="72" t="s">
        <v>216</v>
      </c>
      <c r="C5" s="258"/>
      <c r="D5" s="333" t="s">
        <v>12</v>
      </c>
      <c r="E5" s="335"/>
      <c r="F5" s="258"/>
      <c r="G5" s="258"/>
      <c r="H5" s="258"/>
      <c r="I5" s="258"/>
      <c r="J5" s="99" t="s">
        <v>8</v>
      </c>
      <c r="K5" s="258"/>
      <c r="L5" s="258"/>
      <c r="M5" s="286" t="s">
        <v>9</v>
      </c>
      <c r="N5" s="400">
        <f>SU_01009_q*N2</f>
        <v>1.3590899374999998</v>
      </c>
      <c r="O5" s="259"/>
    </row>
    <row r="6" spans="1:15" x14ac:dyDescent="0.25">
      <c r="A6" s="300" t="s">
        <v>7</v>
      </c>
      <c r="B6" s="28" t="s">
        <v>212</v>
      </c>
      <c r="C6" s="258"/>
      <c r="D6" s="258"/>
      <c r="E6" s="258"/>
      <c r="F6" s="258"/>
      <c r="G6" s="258"/>
      <c r="H6" s="258"/>
      <c r="I6" s="258"/>
      <c r="J6" s="99" t="s">
        <v>12</v>
      </c>
      <c r="K6" s="258"/>
      <c r="L6" s="258"/>
      <c r="M6" s="258"/>
      <c r="N6" s="258"/>
      <c r="O6" s="259"/>
    </row>
    <row r="7" spans="1:15" x14ac:dyDescent="0.25">
      <c r="A7" s="300" t="s">
        <v>10</v>
      </c>
      <c r="B7" s="16" t="s">
        <v>11</v>
      </c>
      <c r="C7" s="258"/>
      <c r="D7" s="258"/>
      <c r="E7" s="258"/>
      <c r="F7" s="258"/>
      <c r="G7" s="258"/>
      <c r="H7" s="258"/>
      <c r="I7" s="258"/>
      <c r="J7" s="258"/>
      <c r="K7" s="258"/>
      <c r="L7" s="258"/>
      <c r="M7" s="258"/>
      <c r="N7" s="258"/>
      <c r="O7" s="259"/>
    </row>
    <row r="8" spans="1:15" x14ac:dyDescent="0.25">
      <c r="A8" s="300" t="s">
        <v>13</v>
      </c>
      <c r="B8" s="258" t="s">
        <v>203</v>
      </c>
      <c r="C8" s="258"/>
      <c r="D8" s="258"/>
      <c r="E8" s="258"/>
      <c r="F8" s="258"/>
      <c r="G8" s="258"/>
      <c r="H8" s="258"/>
      <c r="I8" s="258"/>
      <c r="J8" s="258"/>
      <c r="K8" s="258"/>
      <c r="L8" s="258"/>
      <c r="M8" s="258"/>
      <c r="N8" s="258"/>
      <c r="O8" s="259"/>
    </row>
    <row r="9" spans="1:15" x14ac:dyDescent="0.25">
      <c r="A9" s="274"/>
      <c r="B9" s="258"/>
      <c r="C9" s="258"/>
      <c r="D9" s="258"/>
      <c r="E9" s="258"/>
      <c r="F9" s="258"/>
      <c r="G9" s="258"/>
      <c r="H9" s="258"/>
      <c r="I9" s="258"/>
      <c r="J9" s="258"/>
      <c r="K9" s="258"/>
      <c r="L9" s="258"/>
      <c r="M9" s="258"/>
      <c r="N9" s="258"/>
      <c r="O9" s="259"/>
    </row>
    <row r="10" spans="1:15" x14ac:dyDescent="0.25">
      <c r="A10" s="301" t="s">
        <v>14</v>
      </c>
      <c r="B10" s="282" t="s">
        <v>19</v>
      </c>
      <c r="C10" s="282" t="s">
        <v>20</v>
      </c>
      <c r="D10" s="282" t="s">
        <v>21</v>
      </c>
      <c r="E10" s="282" t="s">
        <v>22</v>
      </c>
      <c r="F10" s="282" t="s">
        <v>23</v>
      </c>
      <c r="G10" s="282" t="s">
        <v>24</v>
      </c>
      <c r="H10" s="282" t="s">
        <v>25</v>
      </c>
      <c r="I10" s="282" t="s">
        <v>26</v>
      </c>
      <c r="J10" s="282" t="s">
        <v>27</v>
      </c>
      <c r="K10" s="282" t="s">
        <v>28</v>
      </c>
      <c r="L10" s="282" t="s">
        <v>29</v>
      </c>
      <c r="M10" s="282" t="s">
        <v>17</v>
      </c>
      <c r="N10" s="282" t="s">
        <v>18</v>
      </c>
      <c r="O10" s="259"/>
    </row>
    <row r="11" spans="1:15" ht="30" x14ac:dyDescent="0.25">
      <c r="A11" s="278">
        <v>10</v>
      </c>
      <c r="B11" s="302" t="s">
        <v>204</v>
      </c>
      <c r="C11" s="303" t="s">
        <v>205</v>
      </c>
      <c r="D11" s="288">
        <v>2.25</v>
      </c>
      <c r="E11" s="304">
        <f>J11*K11*L11</f>
        <v>5.2555749999999998E-2</v>
      </c>
      <c r="F11" s="305" t="s">
        <v>141</v>
      </c>
      <c r="G11" s="305"/>
      <c r="H11" s="306"/>
      <c r="I11" s="307" t="s">
        <v>206</v>
      </c>
      <c r="J11" s="308">
        <v>1.3389999999999999E-3</v>
      </c>
      <c r="K11" s="308">
        <v>5.0000000000000001E-3</v>
      </c>
      <c r="L11" s="309">
        <v>7850</v>
      </c>
      <c r="M11" s="309">
        <v>1</v>
      </c>
      <c r="N11" s="310">
        <f>IF(J11="",D11*M11,D11*J11*K11*L11*M11)</f>
        <v>0.1182504375</v>
      </c>
      <c r="O11" s="259"/>
    </row>
    <row r="12" spans="1:15" x14ac:dyDescent="0.25">
      <c r="A12" s="278">
        <v>20</v>
      </c>
      <c r="B12" s="302" t="s">
        <v>207</v>
      </c>
      <c r="C12" s="303"/>
      <c r="D12" s="311">
        <v>10</v>
      </c>
      <c r="E12" s="312">
        <f>2*J11</f>
        <v>2.6779999999999998E-3</v>
      </c>
      <c r="F12" s="313" t="s">
        <v>202</v>
      </c>
      <c r="G12" s="305"/>
      <c r="H12" s="306"/>
      <c r="I12" s="307"/>
      <c r="J12" s="308"/>
      <c r="K12" s="306"/>
      <c r="L12" s="309"/>
      <c r="M12" s="309"/>
      <c r="N12" s="310">
        <f>E12*D12</f>
        <v>2.6779999999999998E-2</v>
      </c>
      <c r="O12" s="259"/>
    </row>
    <row r="13" spans="1:15" x14ac:dyDescent="0.25">
      <c r="A13" s="275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284" t="s">
        <v>18</v>
      </c>
      <c r="N13" s="283">
        <f>SUM(N11:N12)</f>
        <v>0.1450304375</v>
      </c>
      <c r="O13" s="259"/>
    </row>
    <row r="14" spans="1:15" x14ac:dyDescent="0.25">
      <c r="A14" s="274"/>
      <c r="B14" s="258"/>
      <c r="C14" s="258"/>
      <c r="D14" s="258"/>
      <c r="E14" s="258"/>
      <c r="F14" s="258"/>
      <c r="G14" s="258"/>
      <c r="H14" s="258"/>
      <c r="I14" s="258"/>
      <c r="J14" s="258"/>
      <c r="K14" s="258"/>
      <c r="L14" s="258"/>
      <c r="M14" s="258"/>
      <c r="N14" s="258"/>
      <c r="O14" s="259"/>
    </row>
    <row r="15" spans="1:15" x14ac:dyDescent="0.25">
      <c r="A15" s="301" t="s">
        <v>14</v>
      </c>
      <c r="B15" s="282" t="s">
        <v>31</v>
      </c>
      <c r="C15" s="282" t="s">
        <v>20</v>
      </c>
      <c r="D15" s="282" t="s">
        <v>21</v>
      </c>
      <c r="E15" s="282" t="s">
        <v>32</v>
      </c>
      <c r="F15" s="282" t="s">
        <v>17</v>
      </c>
      <c r="G15" s="282" t="s">
        <v>33</v>
      </c>
      <c r="H15" s="282" t="s">
        <v>34</v>
      </c>
      <c r="I15" s="282" t="s">
        <v>18</v>
      </c>
      <c r="J15" s="276"/>
      <c r="K15" s="276"/>
      <c r="L15" s="276"/>
      <c r="M15" s="276"/>
      <c r="N15" s="276"/>
      <c r="O15" s="259"/>
    </row>
    <row r="16" spans="1:15" ht="41.45" customHeight="1" x14ac:dyDescent="0.25">
      <c r="A16" s="314">
        <v>10</v>
      </c>
      <c r="B16" s="293" t="s">
        <v>39</v>
      </c>
      <c r="C16" s="315" t="s">
        <v>208</v>
      </c>
      <c r="D16" s="316">
        <v>1.3</v>
      </c>
      <c r="E16" s="293" t="s">
        <v>32</v>
      </c>
      <c r="F16" s="294">
        <v>1</v>
      </c>
      <c r="G16" s="315" t="s">
        <v>220</v>
      </c>
      <c r="H16" s="317">
        <v>0.5</v>
      </c>
      <c r="I16" s="289">
        <f>H16*D16</f>
        <v>0.65</v>
      </c>
      <c r="J16" s="294"/>
      <c r="K16" s="258"/>
      <c r="L16" s="258"/>
      <c r="M16" s="258"/>
      <c r="N16" s="258"/>
      <c r="O16" s="259"/>
    </row>
    <row r="17" spans="1:15" x14ac:dyDescent="0.25">
      <c r="A17" s="318">
        <v>20</v>
      </c>
      <c r="B17" s="290" t="s">
        <v>209</v>
      </c>
      <c r="C17" s="291"/>
      <c r="D17" s="316">
        <v>0.01</v>
      </c>
      <c r="E17" s="290" t="s">
        <v>40</v>
      </c>
      <c r="F17" s="320">
        <v>13.8</v>
      </c>
      <c r="G17" s="293"/>
      <c r="H17" s="317"/>
      <c r="I17" s="289">
        <f>IF(H17="",D17*F17,D17*F17*H17)</f>
        <v>0.13800000000000001</v>
      </c>
      <c r="J17" s="294"/>
      <c r="K17" s="258"/>
      <c r="L17" s="258"/>
      <c r="M17" s="258"/>
      <c r="N17" s="258"/>
      <c r="O17" s="259"/>
    </row>
    <row r="18" spans="1:15" ht="60" x14ac:dyDescent="0.25">
      <c r="A18" s="314">
        <v>30</v>
      </c>
      <c r="B18" s="319" t="s">
        <v>39</v>
      </c>
      <c r="C18" s="292"/>
      <c r="D18" s="295">
        <v>0.65</v>
      </c>
      <c r="E18" s="292" t="s">
        <v>32</v>
      </c>
      <c r="F18" s="292">
        <v>1</v>
      </c>
      <c r="G18" s="315" t="s">
        <v>220</v>
      </c>
      <c r="H18" s="292">
        <v>0.5</v>
      </c>
      <c r="I18" s="296">
        <f t="shared" ref="I18:I19" si="0">IF(H18="",D18*F18,D18*F18*H18)</f>
        <v>0.32500000000000001</v>
      </c>
      <c r="J18" s="294"/>
      <c r="K18" s="258"/>
      <c r="L18" s="258"/>
      <c r="M18" s="258"/>
      <c r="N18" s="258"/>
      <c r="O18" s="259"/>
    </row>
    <row r="19" spans="1:15" x14ac:dyDescent="0.25">
      <c r="A19" s="318">
        <v>40</v>
      </c>
      <c r="B19" s="292" t="s">
        <v>92</v>
      </c>
      <c r="C19" s="292" t="s">
        <v>219</v>
      </c>
      <c r="D19" s="295">
        <v>2.9000000000000001E-2</v>
      </c>
      <c r="E19" s="292" t="s">
        <v>93</v>
      </c>
      <c r="F19" s="292">
        <v>1</v>
      </c>
      <c r="G19" s="292" t="s">
        <v>197</v>
      </c>
      <c r="H19" s="292">
        <v>3</v>
      </c>
      <c r="I19" s="296">
        <f t="shared" si="0"/>
        <v>8.7000000000000008E-2</v>
      </c>
      <c r="J19" s="297"/>
      <c r="K19" s="276"/>
      <c r="L19" s="276"/>
      <c r="M19" s="276"/>
      <c r="N19" s="276"/>
      <c r="O19" s="259"/>
    </row>
    <row r="20" spans="1:15" ht="30" x14ac:dyDescent="0.25">
      <c r="A20" s="314">
        <v>50</v>
      </c>
      <c r="B20" s="293" t="s">
        <v>162</v>
      </c>
      <c r="C20" s="291" t="s">
        <v>210</v>
      </c>
      <c r="D20" s="298">
        <v>5.25</v>
      </c>
      <c r="E20" s="293" t="s">
        <v>202</v>
      </c>
      <c r="F20" s="445">
        <f>2*J11</f>
        <v>2.6779999999999998E-3</v>
      </c>
      <c r="G20" s="293"/>
      <c r="H20" s="317"/>
      <c r="I20" s="296">
        <f>F20*D20</f>
        <v>1.4059499999999999E-2</v>
      </c>
      <c r="J20" s="299"/>
      <c r="K20" s="56"/>
      <c r="L20" s="56"/>
      <c r="M20" s="56"/>
      <c r="N20" s="56"/>
      <c r="O20" s="259"/>
    </row>
    <row r="21" spans="1:15" x14ac:dyDescent="0.25">
      <c r="A21" s="275"/>
      <c r="B21" s="276"/>
      <c r="C21" s="276"/>
      <c r="D21" s="276"/>
      <c r="E21" s="276"/>
      <c r="F21" s="276"/>
      <c r="G21" s="276"/>
      <c r="H21" s="284" t="s">
        <v>18</v>
      </c>
      <c r="I21" s="285">
        <f>SUM(I16:I20)</f>
        <v>1.2140594999999998</v>
      </c>
      <c r="J21" s="56"/>
      <c r="K21" s="56"/>
      <c r="L21" s="56"/>
      <c r="M21" s="56"/>
      <c r="N21" s="56"/>
      <c r="O21" s="259"/>
    </row>
    <row r="22" spans="1:15" ht="15.75" thickBot="1" x14ac:dyDescent="0.3">
      <c r="A22" s="279"/>
      <c r="B22" s="280"/>
      <c r="C22" s="280"/>
      <c r="D22" s="280"/>
      <c r="E22" s="280"/>
      <c r="F22" s="280"/>
      <c r="G22" s="280"/>
      <c r="H22" s="280"/>
      <c r="I22" s="280"/>
      <c r="J22" s="280"/>
      <c r="K22" s="280"/>
      <c r="L22" s="280"/>
      <c r="M22" s="280"/>
      <c r="N22" s="280"/>
      <c r="O22" s="281"/>
    </row>
  </sheetData>
  <hyperlinks>
    <hyperlink ref="B4" location="'SU A0100'!A1" display="'SU A0100'!A1" xr:uid="{00000000-0004-0000-1000-000000000000}"/>
    <hyperlink ref="F2" location="SU_A0100_BOM" display="Back to BOM" xr:uid="{00000000-0004-0000-1000-000001000000}"/>
    <hyperlink ref="E3" location="dSU_01009" display="Drawing" xr:uid="{00000000-0004-0000-10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0" t="s">
        <v>212</v>
      </c>
    </row>
  </sheetData>
  <hyperlinks>
    <hyperlink ref="B1" location="SU_01009" display="SU_01009" xr:uid="{00000000-0004-0000-11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300" t="s">
        <v>0</v>
      </c>
      <c r="B2" s="16" t="s">
        <v>37</v>
      </c>
      <c r="C2" s="258"/>
      <c r="D2" s="258"/>
      <c r="E2" s="258"/>
      <c r="F2" s="266" t="s">
        <v>62</v>
      </c>
      <c r="G2" s="258"/>
      <c r="H2" s="258"/>
      <c r="I2" s="258"/>
      <c r="J2" s="99" t="s">
        <v>1</v>
      </c>
      <c r="K2" s="262">
        <v>81</v>
      </c>
      <c r="L2" s="258"/>
      <c r="M2" s="286" t="s">
        <v>16</v>
      </c>
      <c r="N2" s="400">
        <f>SU_01010_m+SU_01010_p</f>
        <v>1.3143274375</v>
      </c>
      <c r="O2" s="259"/>
    </row>
    <row r="3" spans="1:15" x14ac:dyDescent="0.25">
      <c r="A3" s="300" t="s">
        <v>3</v>
      </c>
      <c r="B3" s="16" t="str">
        <f>'SU A0100'!B3</f>
        <v>Suspension &amp; Shocks</v>
      </c>
      <c r="C3" s="262"/>
      <c r="D3" s="333" t="s">
        <v>6</v>
      </c>
      <c r="E3" s="270" t="s">
        <v>60</v>
      </c>
      <c r="F3" s="258"/>
      <c r="G3" s="258"/>
      <c r="H3" s="258"/>
      <c r="I3" s="258"/>
      <c r="J3" s="258"/>
      <c r="K3" s="258"/>
      <c r="L3" s="258"/>
      <c r="M3" s="286" t="s">
        <v>4</v>
      </c>
      <c r="N3" s="263">
        <v>1</v>
      </c>
      <c r="O3" s="259"/>
    </row>
    <row r="4" spans="1:15" x14ac:dyDescent="0.25">
      <c r="A4" s="300" t="s">
        <v>5</v>
      </c>
      <c r="B4" s="87" t="str">
        <f>'SU A0100'!B4</f>
        <v>Upper Front A-arm</v>
      </c>
      <c r="C4" s="258"/>
      <c r="D4" s="333" t="s">
        <v>8</v>
      </c>
      <c r="E4" s="335"/>
      <c r="F4" s="258"/>
      <c r="G4" s="258"/>
      <c r="H4" s="258"/>
      <c r="I4" s="258"/>
      <c r="J4" s="99" t="s">
        <v>6</v>
      </c>
      <c r="K4" s="258"/>
      <c r="L4" s="258"/>
      <c r="M4" s="258"/>
      <c r="N4" s="258"/>
      <c r="O4" s="259"/>
    </row>
    <row r="5" spans="1:15" x14ac:dyDescent="0.25">
      <c r="A5" s="300" t="s">
        <v>15</v>
      </c>
      <c r="B5" s="72" t="s">
        <v>217</v>
      </c>
      <c r="C5" s="258"/>
      <c r="D5" s="333" t="s">
        <v>12</v>
      </c>
      <c r="E5" s="335"/>
      <c r="F5" s="258"/>
      <c r="G5" s="258"/>
      <c r="H5" s="258"/>
      <c r="I5" s="258"/>
      <c r="J5" s="99" t="s">
        <v>8</v>
      </c>
      <c r="K5" s="258"/>
      <c r="L5" s="258"/>
      <c r="M5" s="286" t="s">
        <v>9</v>
      </c>
      <c r="N5" s="260">
        <f>N2*SU_01010_q</f>
        <v>1.3143274375</v>
      </c>
      <c r="O5" s="259"/>
    </row>
    <row r="6" spans="1:15" x14ac:dyDescent="0.25">
      <c r="A6" s="300" t="s">
        <v>7</v>
      </c>
      <c r="B6" s="28" t="s">
        <v>213</v>
      </c>
      <c r="C6" s="258"/>
      <c r="D6" s="258"/>
      <c r="E6" s="258"/>
      <c r="F6" s="258"/>
      <c r="G6" s="258"/>
      <c r="H6" s="258"/>
      <c r="I6" s="258"/>
      <c r="J6" s="99" t="s">
        <v>12</v>
      </c>
      <c r="K6" s="258"/>
      <c r="L6" s="258"/>
      <c r="M6" s="258"/>
      <c r="N6" s="258"/>
      <c r="O6" s="259"/>
    </row>
    <row r="7" spans="1:15" x14ac:dyDescent="0.25">
      <c r="A7" s="300" t="s">
        <v>10</v>
      </c>
      <c r="B7" s="16" t="s">
        <v>11</v>
      </c>
      <c r="C7" s="258"/>
      <c r="D7" s="258"/>
      <c r="E7" s="258"/>
      <c r="F7" s="258"/>
      <c r="G7" s="258"/>
      <c r="H7" s="258"/>
      <c r="I7" s="258"/>
      <c r="J7" s="258"/>
      <c r="K7" s="258"/>
      <c r="L7" s="258"/>
      <c r="M7" s="258"/>
      <c r="N7" s="258"/>
      <c r="O7" s="259"/>
    </row>
    <row r="8" spans="1:15" x14ac:dyDescent="0.25">
      <c r="A8" s="300" t="s">
        <v>13</v>
      </c>
      <c r="B8" s="258" t="s">
        <v>203</v>
      </c>
      <c r="C8" s="258"/>
      <c r="D8" s="258"/>
      <c r="E8" s="258"/>
      <c r="F8" s="258"/>
      <c r="G8" s="258"/>
      <c r="H8" s="258"/>
      <c r="I8" s="258"/>
      <c r="J8" s="258"/>
      <c r="K8" s="258"/>
      <c r="L8" s="258"/>
      <c r="M8" s="258"/>
      <c r="N8" s="258"/>
      <c r="O8" s="259"/>
    </row>
    <row r="9" spans="1:15" x14ac:dyDescent="0.25">
      <c r="A9" s="274"/>
      <c r="B9" s="258"/>
      <c r="C9" s="258"/>
      <c r="D9" s="258"/>
      <c r="E9" s="258"/>
      <c r="F9" s="258"/>
      <c r="G9" s="258"/>
      <c r="H9" s="258"/>
      <c r="I9" s="258"/>
      <c r="J9" s="258"/>
      <c r="K9" s="258"/>
      <c r="L9" s="258"/>
      <c r="M9" s="258"/>
      <c r="N9" s="258"/>
      <c r="O9" s="259"/>
    </row>
    <row r="10" spans="1:15" x14ac:dyDescent="0.25">
      <c r="A10" s="301" t="s">
        <v>14</v>
      </c>
      <c r="B10" s="282" t="s">
        <v>19</v>
      </c>
      <c r="C10" s="282" t="s">
        <v>20</v>
      </c>
      <c r="D10" s="282" t="s">
        <v>21</v>
      </c>
      <c r="E10" s="282" t="s">
        <v>22</v>
      </c>
      <c r="F10" s="282" t="s">
        <v>23</v>
      </c>
      <c r="G10" s="282" t="s">
        <v>24</v>
      </c>
      <c r="H10" s="282" t="s">
        <v>25</v>
      </c>
      <c r="I10" s="282" t="s">
        <v>26</v>
      </c>
      <c r="J10" s="282" t="s">
        <v>27</v>
      </c>
      <c r="K10" s="282" t="s">
        <v>28</v>
      </c>
      <c r="L10" s="282" t="s">
        <v>29</v>
      </c>
      <c r="M10" s="282" t="s">
        <v>17</v>
      </c>
      <c r="N10" s="282" t="s">
        <v>18</v>
      </c>
      <c r="O10" s="259"/>
    </row>
    <row r="11" spans="1:15" ht="30" x14ac:dyDescent="0.25">
      <c r="A11" s="278">
        <v>10</v>
      </c>
      <c r="B11" s="302" t="s">
        <v>204</v>
      </c>
      <c r="C11" s="303" t="s">
        <v>205</v>
      </c>
      <c r="D11" s="288">
        <v>2.25</v>
      </c>
      <c r="E11" s="304">
        <f>J11*K11*L11</f>
        <v>4.4705750000000002E-2</v>
      </c>
      <c r="F11" s="305" t="s">
        <v>141</v>
      </c>
      <c r="G11" s="305"/>
      <c r="H11" s="306"/>
      <c r="I11" s="307" t="s">
        <v>206</v>
      </c>
      <c r="J11" s="308">
        <v>1.139E-3</v>
      </c>
      <c r="K11" s="308">
        <v>5.0000000000000001E-3</v>
      </c>
      <c r="L11" s="309">
        <v>7850</v>
      </c>
      <c r="M11" s="309">
        <v>1</v>
      </c>
      <c r="N11" s="310">
        <f>IF(J11="",D11*M11,D11*J11*K11*L11*M11)</f>
        <v>0.10058793749999999</v>
      </c>
      <c r="O11" s="259"/>
    </row>
    <row r="12" spans="1:15" x14ac:dyDescent="0.25">
      <c r="A12" s="278">
        <v>20</v>
      </c>
      <c r="B12" s="302" t="s">
        <v>207</v>
      </c>
      <c r="C12" s="303"/>
      <c r="D12" s="311">
        <v>10</v>
      </c>
      <c r="E12" s="312">
        <f>2*J11</f>
        <v>2.2780000000000001E-3</v>
      </c>
      <c r="F12" s="313" t="s">
        <v>202</v>
      </c>
      <c r="G12" s="305"/>
      <c r="H12" s="306"/>
      <c r="I12" s="307"/>
      <c r="J12" s="308"/>
      <c r="K12" s="306"/>
      <c r="L12" s="309"/>
      <c r="M12" s="309"/>
      <c r="N12" s="310">
        <f>E12*D12</f>
        <v>2.2780000000000002E-2</v>
      </c>
      <c r="O12" s="259"/>
    </row>
    <row r="13" spans="1:15" x14ac:dyDescent="0.25">
      <c r="A13" s="275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284" t="s">
        <v>18</v>
      </c>
      <c r="N13" s="283">
        <f>SUM(N11:N12)</f>
        <v>0.1233679375</v>
      </c>
      <c r="O13" s="259"/>
    </row>
    <row r="14" spans="1:15" x14ac:dyDescent="0.25">
      <c r="A14" s="274"/>
      <c r="B14" s="258"/>
      <c r="C14" s="258"/>
      <c r="D14" s="258"/>
      <c r="E14" s="258"/>
      <c r="F14" s="258"/>
      <c r="G14" s="258"/>
      <c r="H14" s="258"/>
      <c r="I14" s="258"/>
      <c r="J14" s="258"/>
      <c r="K14" s="258"/>
      <c r="L14" s="258"/>
      <c r="M14" s="258"/>
      <c r="N14" s="258"/>
      <c r="O14" s="259"/>
    </row>
    <row r="15" spans="1:15" x14ac:dyDescent="0.25">
      <c r="A15" s="301" t="s">
        <v>14</v>
      </c>
      <c r="B15" s="282" t="s">
        <v>31</v>
      </c>
      <c r="C15" s="282" t="s">
        <v>20</v>
      </c>
      <c r="D15" s="282" t="s">
        <v>21</v>
      </c>
      <c r="E15" s="282" t="s">
        <v>32</v>
      </c>
      <c r="F15" s="282" t="s">
        <v>17</v>
      </c>
      <c r="G15" s="282" t="s">
        <v>33</v>
      </c>
      <c r="H15" s="282" t="s">
        <v>34</v>
      </c>
      <c r="I15" s="282" t="s">
        <v>18</v>
      </c>
      <c r="J15" s="276"/>
      <c r="K15" s="276"/>
      <c r="L15" s="276"/>
      <c r="M15" s="276"/>
      <c r="N15" s="276"/>
      <c r="O15" s="259"/>
    </row>
    <row r="16" spans="1:15" ht="60" x14ac:dyDescent="0.25">
      <c r="A16" s="314">
        <v>10</v>
      </c>
      <c r="B16" s="293" t="s">
        <v>39</v>
      </c>
      <c r="C16" s="315" t="s">
        <v>208</v>
      </c>
      <c r="D16" s="316">
        <v>1.3</v>
      </c>
      <c r="E16" s="293" t="s">
        <v>32</v>
      </c>
      <c r="F16" s="294">
        <v>1</v>
      </c>
      <c r="G16" s="315" t="s">
        <v>220</v>
      </c>
      <c r="H16" s="317">
        <v>0.5</v>
      </c>
      <c r="I16" s="289">
        <f>H16*D16</f>
        <v>0.65</v>
      </c>
      <c r="J16" s="294"/>
      <c r="K16" s="258"/>
      <c r="L16" s="258"/>
      <c r="M16" s="258"/>
      <c r="N16" s="258"/>
      <c r="O16" s="259"/>
    </row>
    <row r="17" spans="1:15" x14ac:dyDescent="0.25">
      <c r="A17" s="318">
        <v>20</v>
      </c>
      <c r="B17" s="290" t="s">
        <v>209</v>
      </c>
      <c r="C17" s="291"/>
      <c r="D17" s="316">
        <v>0.01</v>
      </c>
      <c r="E17" s="290" t="s">
        <v>40</v>
      </c>
      <c r="F17" s="320">
        <v>11.7</v>
      </c>
      <c r="G17" s="293"/>
      <c r="H17" s="317"/>
      <c r="I17" s="289">
        <f>IF(H17="",D17*F17,D17*F17*H17)</f>
        <v>0.11699999999999999</v>
      </c>
      <c r="J17" s="294"/>
      <c r="K17" s="258"/>
      <c r="L17" s="258"/>
      <c r="M17" s="258"/>
      <c r="N17" s="258"/>
      <c r="O17" s="259"/>
    </row>
    <row r="18" spans="1:15" ht="60" x14ac:dyDescent="0.25">
      <c r="A18" s="314">
        <v>30</v>
      </c>
      <c r="B18" s="319" t="s">
        <v>39</v>
      </c>
      <c r="C18" s="292"/>
      <c r="D18" s="295">
        <v>0.65</v>
      </c>
      <c r="E18" s="292" t="s">
        <v>32</v>
      </c>
      <c r="F18" s="292">
        <v>1</v>
      </c>
      <c r="G18" s="315" t="s">
        <v>220</v>
      </c>
      <c r="H18" s="292">
        <v>0.5</v>
      </c>
      <c r="I18" s="296">
        <f t="shared" ref="I18:I19" si="0">IF(H18="",D18*F18,D18*F18*H18)</f>
        <v>0.32500000000000001</v>
      </c>
      <c r="J18" s="294"/>
      <c r="K18" s="258"/>
      <c r="L18" s="258"/>
      <c r="M18" s="258"/>
      <c r="N18" s="258"/>
      <c r="O18" s="259"/>
    </row>
    <row r="19" spans="1:15" x14ac:dyDescent="0.25">
      <c r="A19" s="318">
        <v>40</v>
      </c>
      <c r="B19" s="292" t="s">
        <v>92</v>
      </c>
      <c r="C19" s="292" t="s">
        <v>219</v>
      </c>
      <c r="D19" s="295">
        <v>2.9000000000000001E-2</v>
      </c>
      <c r="E19" s="292" t="s">
        <v>93</v>
      </c>
      <c r="F19" s="292">
        <v>1</v>
      </c>
      <c r="G19" s="292" t="s">
        <v>197</v>
      </c>
      <c r="H19" s="292">
        <v>3</v>
      </c>
      <c r="I19" s="296">
        <f t="shared" si="0"/>
        <v>8.7000000000000008E-2</v>
      </c>
      <c r="J19" s="297"/>
      <c r="K19" s="276"/>
      <c r="L19" s="276"/>
      <c r="M19" s="276"/>
      <c r="N19" s="276"/>
      <c r="O19" s="259"/>
    </row>
    <row r="20" spans="1:15" ht="30" x14ac:dyDescent="0.25">
      <c r="A20" s="314">
        <v>50</v>
      </c>
      <c r="B20" s="293" t="s">
        <v>162</v>
      </c>
      <c r="C20" s="291" t="s">
        <v>210</v>
      </c>
      <c r="D20" s="298">
        <v>5.25</v>
      </c>
      <c r="E20" s="293" t="s">
        <v>202</v>
      </c>
      <c r="F20" s="445">
        <f>2*J11</f>
        <v>2.2780000000000001E-3</v>
      </c>
      <c r="G20" s="293"/>
      <c r="H20" s="317"/>
      <c r="I20" s="296">
        <f>F20*D20</f>
        <v>1.19595E-2</v>
      </c>
      <c r="J20" s="299"/>
      <c r="K20" s="56"/>
      <c r="L20" s="56"/>
      <c r="M20" s="56"/>
      <c r="N20" s="56"/>
      <c r="O20" s="259"/>
    </row>
    <row r="21" spans="1:15" x14ac:dyDescent="0.25">
      <c r="A21" s="275"/>
      <c r="B21" s="276"/>
      <c r="C21" s="276"/>
      <c r="D21" s="276"/>
      <c r="E21" s="276"/>
      <c r="F21" s="276"/>
      <c r="G21" s="276"/>
      <c r="H21" s="284" t="s">
        <v>18</v>
      </c>
      <c r="I21" s="285">
        <f>SUM(I16:I20)</f>
        <v>1.1909594999999999</v>
      </c>
      <c r="J21" s="56"/>
      <c r="K21" s="56"/>
      <c r="L21" s="56"/>
      <c r="M21" s="56"/>
      <c r="N21" s="56"/>
      <c r="O21" s="259"/>
    </row>
    <row r="22" spans="1:15" ht="15.75" thickBot="1" x14ac:dyDescent="0.3">
      <c r="A22" s="279"/>
      <c r="B22" s="280"/>
      <c r="C22" s="280"/>
      <c r="D22" s="280"/>
      <c r="E22" s="280"/>
      <c r="F22" s="280"/>
      <c r="G22" s="280"/>
      <c r="H22" s="280"/>
      <c r="I22" s="280"/>
      <c r="J22" s="280"/>
      <c r="K22" s="280"/>
      <c r="L22" s="280"/>
      <c r="M22" s="280"/>
      <c r="N22" s="280"/>
      <c r="O22" s="281"/>
    </row>
  </sheetData>
  <hyperlinks>
    <hyperlink ref="B4" location="'SU A0100'!A1" display="'SU A0100'!A1" xr:uid="{00000000-0004-0000-1200-000000000000}"/>
    <hyperlink ref="F2" location="SU_A0100_BOM" display="Back to BOM" xr:uid="{00000000-0004-0000-1200-000001000000}"/>
    <hyperlink ref="E3" location="dSU_01010" display="Drawing" xr:uid="{00000000-0004-0000-1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tToHeight="99" orientation="landscape" r:id="rId1"/>
  <headerFooter>
    <oddFooter>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  <pageSetUpPr fitToPage="1"/>
  </sheetPr>
  <dimension ref="A1:O64"/>
  <sheetViews>
    <sheetView zoomScale="90" zoomScaleNormal="90" zoomScaleSheetLayoutView="80" zoomScalePageLayoutView="70" workbookViewId="0">
      <selection activeCell="P47" sqref="P47"/>
    </sheetView>
  </sheetViews>
  <sheetFormatPr baseColWidth="10" defaultColWidth="9.140625" defaultRowHeight="15" x14ac:dyDescent="0.25"/>
  <cols>
    <col min="2" max="2" width="45.5703125" customWidth="1"/>
    <col min="3" max="3" width="48.28515625" customWidth="1"/>
    <col min="5" max="5" width="14.140625" customWidth="1"/>
    <col min="8" max="8" width="9.42578125" customWidth="1"/>
    <col min="14" max="14" width="13.710937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SU_A0100_pa+SU_A0100_m+SU_A0100_p+SU_A0100_f</f>
        <v>80.823417669425169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88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64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161.64683533885034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95" t="s">
        <v>14</v>
      </c>
      <c r="B9" s="95" t="s">
        <v>15</v>
      </c>
      <c r="C9" s="95" t="s">
        <v>16</v>
      </c>
      <c r="D9" s="95" t="s">
        <v>17</v>
      </c>
      <c r="E9" s="95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5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72">
        <v>20</v>
      </c>
      <c r="B11" s="86" t="str">
        <f>'SU 01002'!B5</f>
        <v>Inner Bearing Support</v>
      </c>
      <c r="C11" s="74">
        <f>'SU 01002'!N2</f>
        <v>1.8728805440000003</v>
      </c>
      <c r="D11" s="72">
        <f>SU_01002_q</f>
        <v>2</v>
      </c>
      <c r="E11" s="74">
        <f t="shared" ref="E11:E20" si="0">C11*D11</f>
        <v>3.7457610880000005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25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25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25">
      <c r="A14" s="72">
        <v>50</v>
      </c>
      <c r="B14" s="86" t="str">
        <f>'SU 01005'!B5</f>
        <v>Spacer 1</v>
      </c>
      <c r="C14" s="74">
        <f>'SU 01005'!N2</f>
        <v>0.98904401600000003</v>
      </c>
      <c r="D14">
        <f>SU_01005_q</f>
        <v>2</v>
      </c>
      <c r="E14" s="74">
        <f t="shared" si="0"/>
        <v>1.9780880320000001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25">
      <c r="A15" s="72">
        <v>60</v>
      </c>
      <c r="B15" s="86" t="s">
        <v>121</v>
      </c>
      <c r="C15" s="142">
        <f>'SU 01006'!N2</f>
        <v>0.32421353411764708</v>
      </c>
      <c r="D15" s="26">
        <f>SU_01006_q</f>
        <v>4</v>
      </c>
      <c r="E15" s="74">
        <f t="shared" si="0"/>
        <v>1.2968541364705883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25">
      <c r="A16" s="228">
        <v>70</v>
      </c>
      <c r="B16" s="451" t="str">
        <f>'SU 01007'!B5</f>
        <v>Outboard A-arm Insert</v>
      </c>
      <c r="C16" s="454">
        <f>'SU 01007'!N2</f>
        <v>0.47719727680000001</v>
      </c>
      <c r="D16" s="453">
        <f>SU_01007_q</f>
        <v>2</v>
      </c>
      <c r="E16" s="45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25">
      <c r="A17" s="72">
        <v>80</v>
      </c>
      <c r="B17" s="452" t="str">
        <f>'SU 01008'!B5</f>
        <v>Front up bracket</v>
      </c>
      <c r="C17" s="454">
        <f>'SU 01008'!N2</f>
        <v>1.3930602499999998</v>
      </c>
      <c r="D17" s="453">
        <f>SU_01008_q</f>
        <v>1</v>
      </c>
      <c r="E17" s="455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25">
      <c r="A18" s="72">
        <v>90</v>
      </c>
      <c r="B18" s="452" t="str">
        <f>'SU 01009'!B5</f>
        <v>Front down bracket</v>
      </c>
      <c r="C18" s="454">
        <f>'SU 01009'!N2</f>
        <v>1.3590899374999998</v>
      </c>
      <c r="D18" s="453">
        <f>SU_01009_q</f>
        <v>1</v>
      </c>
      <c r="E18" s="455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25">
      <c r="A19" s="228">
        <v>100</v>
      </c>
      <c r="B19" s="452" t="str">
        <f>'SU 01010'!B5</f>
        <v>Rear up bracket</v>
      </c>
      <c r="C19" s="454">
        <f>'SU 01010'!N2</f>
        <v>1.3143274375</v>
      </c>
      <c r="D19" s="453">
        <f>SU_01010_q</f>
        <v>1</v>
      </c>
      <c r="E19" s="455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25">
      <c r="A20" s="72">
        <v>110</v>
      </c>
      <c r="B20" s="452" t="str">
        <f>'SU 01011'!B5</f>
        <v>Rear down bracket</v>
      </c>
      <c r="C20" s="1194">
        <f>'SU 01011'!N2</f>
        <v>0.37972487499999996</v>
      </c>
      <c r="D20" s="453">
        <f>SU_01011_q</f>
        <v>1</v>
      </c>
      <c r="E20" s="455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25">
      <c r="A21" s="63"/>
      <c r="B21" s="56"/>
      <c r="C21" s="56"/>
      <c r="D21" s="1203" t="s">
        <v>18</v>
      </c>
      <c r="E21" s="1204">
        <f>SUM(E10:E20)</f>
        <v>43.577210055670584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25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25">
      <c r="A23" s="95" t="s">
        <v>14</v>
      </c>
      <c r="B23" s="95" t="s">
        <v>19</v>
      </c>
      <c r="C23" s="95" t="s">
        <v>20</v>
      </c>
      <c r="D23" s="95" t="s">
        <v>21</v>
      </c>
      <c r="E23" s="95" t="s">
        <v>22</v>
      </c>
      <c r="F23" s="95" t="s">
        <v>23</v>
      </c>
      <c r="G23" s="95" t="s">
        <v>24</v>
      </c>
      <c r="H23" s="95" t="s">
        <v>25</v>
      </c>
      <c r="I23" s="95" t="s">
        <v>26</v>
      </c>
      <c r="J23" s="95" t="s">
        <v>27</v>
      </c>
      <c r="K23" s="95" t="s">
        <v>28</v>
      </c>
      <c r="L23" s="95" t="s">
        <v>29</v>
      </c>
      <c r="M23" s="95" t="s">
        <v>17</v>
      </c>
      <c r="N23" s="95" t="s">
        <v>18</v>
      </c>
      <c r="O23" s="62"/>
    </row>
    <row r="24" spans="1:15" ht="14.45" customHeight="1" x14ac:dyDescent="0.25">
      <c r="A24" s="72">
        <v>10</v>
      </c>
      <c r="B24" s="72" t="s">
        <v>65</v>
      </c>
      <c r="C24" s="72"/>
      <c r="D24" s="124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5" customHeight="1" x14ac:dyDescent="0.25">
      <c r="A25" s="228">
        <v>20</v>
      </c>
      <c r="B25" s="135" t="s">
        <v>70</v>
      </c>
      <c r="C25" s="229" t="s">
        <v>71</v>
      </c>
      <c r="D25" s="230"/>
      <c r="E25" s="555"/>
      <c r="F25" s="555">
        <v>95</v>
      </c>
      <c r="G25" s="555"/>
      <c r="H25" s="231"/>
      <c r="I25" s="556"/>
      <c r="J25" s="557"/>
      <c r="K25" s="558"/>
      <c r="L25" s="233"/>
      <c r="M25" s="232"/>
      <c r="N25" s="230">
        <f>M25*D25</f>
        <v>0</v>
      </c>
      <c r="O25" s="66"/>
    </row>
    <row r="26" spans="1:15" ht="31.9" customHeight="1" x14ac:dyDescent="0.25">
      <c r="A26" s="560">
        <v>30</v>
      </c>
      <c r="B26" s="561" t="s">
        <v>70</v>
      </c>
      <c r="C26" s="562" t="s">
        <v>72</v>
      </c>
      <c r="D26" s="563"/>
      <c r="E26" s="560"/>
      <c r="F26" s="560"/>
      <c r="G26" s="560"/>
      <c r="H26" s="564"/>
      <c r="I26" s="565"/>
      <c r="J26" s="566"/>
      <c r="K26" s="564"/>
      <c r="L26" s="567"/>
      <c r="M26" s="564"/>
      <c r="N26" s="563">
        <f>M26*D26</f>
        <v>0</v>
      </c>
      <c r="O26" s="62"/>
    </row>
    <row r="27" spans="1:15" ht="15.6" customHeight="1" x14ac:dyDescent="0.25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35" t="s">
        <v>18</v>
      </c>
      <c r="N27" s="559">
        <f>SUM(N24:N26)</f>
        <v>20.759999999999998</v>
      </c>
      <c r="O27" s="62"/>
    </row>
    <row r="28" spans="1:15" x14ac:dyDescent="0.25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25">
      <c r="A29" s="95" t="s">
        <v>14</v>
      </c>
      <c r="B29" s="95" t="s">
        <v>31</v>
      </c>
      <c r="C29" s="95" t="s">
        <v>20</v>
      </c>
      <c r="D29" s="95" t="s">
        <v>21</v>
      </c>
      <c r="E29" s="95" t="s">
        <v>32</v>
      </c>
      <c r="F29" s="95" t="s">
        <v>17</v>
      </c>
      <c r="G29" s="95" t="s">
        <v>33</v>
      </c>
      <c r="H29" s="95" t="s">
        <v>34</v>
      </c>
      <c r="I29" s="95" t="s">
        <v>18</v>
      </c>
      <c r="J29" s="24"/>
      <c r="K29" s="24"/>
      <c r="L29" s="24"/>
      <c r="M29" s="24"/>
      <c r="N29" s="24"/>
      <c r="O29" s="68"/>
    </row>
    <row r="30" spans="1:15" s="176" customFormat="1" x14ac:dyDescent="0.25">
      <c r="A30" s="216">
        <v>10</v>
      </c>
      <c r="B30" s="212" t="s">
        <v>76</v>
      </c>
      <c r="C30" s="217" t="s">
        <v>169</v>
      </c>
      <c r="D30" s="213">
        <v>0.02</v>
      </c>
      <c r="E30" s="216" t="s">
        <v>74</v>
      </c>
      <c r="F30" s="227">
        <v>8.66</v>
      </c>
      <c r="G30" s="227" t="s">
        <v>153</v>
      </c>
      <c r="H30" s="227">
        <v>2</v>
      </c>
      <c r="I30" s="213">
        <f t="shared" ref="I30:I51" si="1">IF(H30="",D30*F30,D30*F30*H30)</f>
        <v>0.34639999999999999</v>
      </c>
      <c r="J30" s="218"/>
      <c r="K30" s="218"/>
      <c r="L30" s="218"/>
      <c r="M30" s="218"/>
      <c r="N30" s="218"/>
      <c r="O30" s="219"/>
    </row>
    <row r="31" spans="1:15" s="176" customFormat="1" x14ac:dyDescent="0.25">
      <c r="A31" s="216">
        <v>20</v>
      </c>
      <c r="B31" s="212" t="s">
        <v>73</v>
      </c>
      <c r="C31" s="217" t="s">
        <v>170</v>
      </c>
      <c r="D31" s="213">
        <v>0.02</v>
      </c>
      <c r="E31" s="216" t="s">
        <v>74</v>
      </c>
      <c r="F31" s="227">
        <v>8.66</v>
      </c>
      <c r="G31" s="227" t="s">
        <v>153</v>
      </c>
      <c r="H31" s="227">
        <v>2</v>
      </c>
      <c r="I31" s="213">
        <f t="shared" si="1"/>
        <v>0.34639999999999999</v>
      </c>
      <c r="J31" s="220"/>
      <c r="K31" s="220"/>
      <c r="L31" s="220"/>
      <c r="M31" s="220"/>
      <c r="N31" s="220"/>
      <c r="O31" s="221"/>
    </row>
    <row r="32" spans="1:15" s="176" customFormat="1" x14ac:dyDescent="0.25">
      <c r="A32" s="216">
        <v>30</v>
      </c>
      <c r="B32" s="212" t="s">
        <v>76</v>
      </c>
      <c r="C32" s="217" t="s">
        <v>172</v>
      </c>
      <c r="D32" s="213">
        <v>0.02</v>
      </c>
      <c r="E32" s="216" t="s">
        <v>74</v>
      </c>
      <c r="F32" s="227">
        <v>8.66</v>
      </c>
      <c r="G32" s="227" t="s">
        <v>153</v>
      </c>
      <c r="H32" s="227">
        <v>2</v>
      </c>
      <c r="I32" s="213">
        <f t="shared" si="1"/>
        <v>0.34639999999999999</v>
      </c>
      <c r="J32" s="218"/>
      <c r="K32" s="218"/>
      <c r="L32" s="218"/>
      <c r="M32" s="218"/>
      <c r="N32" s="218"/>
      <c r="O32" s="219"/>
    </row>
    <row r="33" spans="1:15" s="1211" customFormat="1" x14ac:dyDescent="0.25">
      <c r="A33" s="1205">
        <v>40</v>
      </c>
      <c r="B33" s="1206" t="s">
        <v>154</v>
      </c>
      <c r="C33" s="1207" t="s">
        <v>174</v>
      </c>
      <c r="D33" s="1208">
        <v>0.06</v>
      </c>
      <c r="E33" s="1206" t="s">
        <v>32</v>
      </c>
      <c r="F33" s="1184">
        <v>1</v>
      </c>
      <c r="G33" s="1184" t="s">
        <v>153</v>
      </c>
      <c r="H33" s="1184">
        <v>2</v>
      </c>
      <c r="I33" s="1208">
        <f t="shared" si="1"/>
        <v>0.12</v>
      </c>
      <c r="J33" s="1209"/>
      <c r="K33" s="1209"/>
      <c r="L33" s="1209"/>
      <c r="M33" s="1209"/>
      <c r="N33" s="1209"/>
      <c r="O33" s="1210"/>
    </row>
    <row r="34" spans="1:15" s="176" customFormat="1" x14ac:dyDescent="0.25">
      <c r="A34" s="216">
        <v>50</v>
      </c>
      <c r="B34" s="212" t="s">
        <v>76</v>
      </c>
      <c r="C34" s="217" t="s">
        <v>175</v>
      </c>
      <c r="D34" s="213">
        <v>0.02</v>
      </c>
      <c r="E34" s="216" t="s">
        <v>74</v>
      </c>
      <c r="F34" s="227">
        <v>12.43</v>
      </c>
      <c r="G34" s="227" t="s">
        <v>153</v>
      </c>
      <c r="H34" s="227">
        <v>2</v>
      </c>
      <c r="I34" s="213">
        <f t="shared" si="1"/>
        <v>0.49719999999999998</v>
      </c>
      <c r="J34" s="218"/>
      <c r="K34" s="218"/>
      <c r="L34" s="218"/>
      <c r="M34" s="218"/>
      <c r="N34" s="218"/>
      <c r="O34" s="219"/>
    </row>
    <row r="35" spans="1:15" s="176" customFormat="1" x14ac:dyDescent="0.25">
      <c r="A35" s="216">
        <v>60</v>
      </c>
      <c r="B35" s="212" t="s">
        <v>73</v>
      </c>
      <c r="C35" s="217" t="s">
        <v>176</v>
      </c>
      <c r="D35" s="213">
        <v>0.02</v>
      </c>
      <c r="E35" s="216" t="s">
        <v>74</v>
      </c>
      <c r="F35" s="227">
        <v>12.43</v>
      </c>
      <c r="G35" s="227" t="s">
        <v>153</v>
      </c>
      <c r="H35" s="227">
        <v>2</v>
      </c>
      <c r="I35" s="213">
        <f t="shared" si="1"/>
        <v>0.49719999999999998</v>
      </c>
      <c r="J35" s="220"/>
      <c r="K35" s="220"/>
      <c r="L35" s="220"/>
      <c r="M35" s="220"/>
      <c r="N35" s="220"/>
      <c r="O35" s="221"/>
    </row>
    <row r="36" spans="1:15" s="176" customFormat="1" x14ac:dyDescent="0.25">
      <c r="A36" s="216">
        <v>70</v>
      </c>
      <c r="B36" s="212" t="s">
        <v>76</v>
      </c>
      <c r="C36" s="217" t="s">
        <v>155</v>
      </c>
      <c r="D36" s="213">
        <v>0.02</v>
      </c>
      <c r="E36" s="216" t="s">
        <v>74</v>
      </c>
      <c r="F36" s="227">
        <v>12.43</v>
      </c>
      <c r="G36" s="227" t="s">
        <v>153</v>
      </c>
      <c r="H36" s="227">
        <v>2</v>
      </c>
      <c r="I36" s="213">
        <f t="shared" si="1"/>
        <v>0.49719999999999998</v>
      </c>
      <c r="J36" s="218"/>
      <c r="K36" s="218"/>
      <c r="L36" s="218"/>
      <c r="M36" s="218"/>
      <c r="N36" s="218"/>
      <c r="O36" s="219"/>
    </row>
    <row r="37" spans="1:15" s="176" customFormat="1" x14ac:dyDescent="0.25">
      <c r="A37" s="216">
        <v>80</v>
      </c>
      <c r="B37" s="212" t="s">
        <v>154</v>
      </c>
      <c r="C37" s="222" t="s">
        <v>177</v>
      </c>
      <c r="D37" s="213">
        <v>0.14000000000000001</v>
      </c>
      <c r="E37" s="212" t="s">
        <v>32</v>
      </c>
      <c r="F37" s="227">
        <v>1</v>
      </c>
      <c r="G37" s="227" t="s">
        <v>153</v>
      </c>
      <c r="H37" s="227">
        <v>2</v>
      </c>
      <c r="I37" s="213">
        <f t="shared" si="1"/>
        <v>0.28000000000000003</v>
      </c>
      <c r="J37" s="223"/>
      <c r="K37" s="223"/>
      <c r="L37" s="223"/>
      <c r="M37" s="223"/>
      <c r="N37" s="223"/>
      <c r="O37" s="224"/>
    </row>
    <row r="38" spans="1:15" s="176" customFormat="1" x14ac:dyDescent="0.25">
      <c r="A38" s="216">
        <v>90</v>
      </c>
      <c r="B38" s="212" t="s">
        <v>76</v>
      </c>
      <c r="C38" s="217" t="s">
        <v>171</v>
      </c>
      <c r="D38" s="213">
        <v>0.02</v>
      </c>
      <c r="E38" s="216" t="s">
        <v>74</v>
      </c>
      <c r="F38" s="227">
        <v>12.43</v>
      </c>
      <c r="G38" s="227" t="s">
        <v>153</v>
      </c>
      <c r="H38" s="227">
        <v>2</v>
      </c>
      <c r="I38" s="213">
        <f t="shared" si="1"/>
        <v>0.49719999999999998</v>
      </c>
      <c r="J38" s="218"/>
      <c r="K38" s="218"/>
      <c r="L38" s="218"/>
      <c r="M38" s="218"/>
      <c r="N38" s="218"/>
      <c r="O38" s="219"/>
    </row>
    <row r="39" spans="1:15" s="176" customFormat="1" x14ac:dyDescent="0.25">
      <c r="A39" s="216">
        <v>100</v>
      </c>
      <c r="B39" s="212" t="s">
        <v>73</v>
      </c>
      <c r="C39" s="217" t="s">
        <v>173</v>
      </c>
      <c r="D39" s="213">
        <v>0.18</v>
      </c>
      <c r="E39" s="216" t="s">
        <v>74</v>
      </c>
      <c r="F39" s="227">
        <v>12.43</v>
      </c>
      <c r="G39" s="227" t="s">
        <v>153</v>
      </c>
      <c r="H39" s="227">
        <v>2</v>
      </c>
      <c r="I39" s="213">
        <f t="shared" si="1"/>
        <v>4.4748000000000001</v>
      </c>
      <c r="J39" s="223"/>
      <c r="K39" s="223"/>
      <c r="L39" s="223"/>
      <c r="M39" s="223"/>
      <c r="N39" s="223"/>
      <c r="O39" s="219"/>
    </row>
    <row r="40" spans="1:15" s="176" customFormat="1" x14ac:dyDescent="0.25">
      <c r="A40" s="216">
        <v>110</v>
      </c>
      <c r="B40" s="212" t="s">
        <v>76</v>
      </c>
      <c r="C40" s="217" t="s">
        <v>155</v>
      </c>
      <c r="D40" s="213">
        <v>0.02</v>
      </c>
      <c r="E40" s="216" t="s">
        <v>74</v>
      </c>
      <c r="F40" s="227">
        <v>12.43</v>
      </c>
      <c r="G40" s="227" t="s">
        <v>153</v>
      </c>
      <c r="H40" s="227">
        <v>2</v>
      </c>
      <c r="I40" s="213">
        <f t="shared" si="1"/>
        <v>0.49719999999999998</v>
      </c>
      <c r="J40" s="218"/>
      <c r="K40" s="218"/>
      <c r="L40" s="218"/>
      <c r="M40" s="218"/>
      <c r="N40" s="218"/>
      <c r="O40" s="219"/>
    </row>
    <row r="41" spans="1:15" s="176" customFormat="1" ht="30" x14ac:dyDescent="0.25">
      <c r="A41" s="216">
        <v>120</v>
      </c>
      <c r="B41" s="212" t="s">
        <v>154</v>
      </c>
      <c r="C41" s="222" t="s">
        <v>178</v>
      </c>
      <c r="D41" s="213">
        <v>0.22</v>
      </c>
      <c r="E41" s="212" t="s">
        <v>32</v>
      </c>
      <c r="F41" s="227">
        <v>1</v>
      </c>
      <c r="G41" s="227" t="s">
        <v>153</v>
      </c>
      <c r="H41" s="227">
        <v>2</v>
      </c>
      <c r="I41" s="213">
        <f t="shared" si="1"/>
        <v>0.44</v>
      </c>
      <c r="J41" s="223"/>
      <c r="K41" s="223"/>
      <c r="L41" s="223"/>
      <c r="M41" s="223"/>
      <c r="N41" s="223"/>
      <c r="O41" s="219"/>
    </row>
    <row r="42" spans="1:15" s="176" customFormat="1" x14ac:dyDescent="0.25">
      <c r="A42" s="216">
        <v>130</v>
      </c>
      <c r="B42" s="212" t="s">
        <v>76</v>
      </c>
      <c r="C42" s="217" t="s">
        <v>156</v>
      </c>
      <c r="D42" s="213">
        <v>0.02</v>
      </c>
      <c r="E42" s="216" t="s">
        <v>74</v>
      </c>
      <c r="F42" s="227">
        <v>4.01</v>
      </c>
      <c r="G42" s="227" t="s">
        <v>157</v>
      </c>
      <c r="H42" s="227">
        <v>3</v>
      </c>
      <c r="I42" s="213">
        <f t="shared" si="1"/>
        <v>0.24059999999999998</v>
      </c>
      <c r="J42" s="218"/>
      <c r="K42" s="218"/>
      <c r="L42" s="218"/>
      <c r="M42" s="218"/>
      <c r="N42" s="218"/>
      <c r="O42" s="219"/>
    </row>
    <row r="43" spans="1:15" s="176" customFormat="1" x14ac:dyDescent="0.25">
      <c r="A43" s="216">
        <v>140</v>
      </c>
      <c r="B43" s="225" t="s">
        <v>73</v>
      </c>
      <c r="C43" s="217" t="s">
        <v>158</v>
      </c>
      <c r="D43" s="213">
        <v>0.02</v>
      </c>
      <c r="E43" s="216" t="s">
        <v>74</v>
      </c>
      <c r="F43" s="227">
        <v>4.01</v>
      </c>
      <c r="G43" s="227" t="s">
        <v>157</v>
      </c>
      <c r="H43" s="227">
        <v>3</v>
      </c>
      <c r="I43" s="213">
        <f t="shared" si="1"/>
        <v>0.24059999999999998</v>
      </c>
      <c r="J43" s="223"/>
      <c r="K43" s="223"/>
      <c r="L43" s="223"/>
      <c r="M43" s="223"/>
      <c r="N43" s="223"/>
      <c r="O43" s="219"/>
    </row>
    <row r="44" spans="1:15" s="176" customFormat="1" x14ac:dyDescent="0.25">
      <c r="A44" s="216">
        <v>150</v>
      </c>
      <c r="B44" s="212" t="s">
        <v>154</v>
      </c>
      <c r="C44" s="217" t="s">
        <v>159</v>
      </c>
      <c r="D44" s="213">
        <v>0.3</v>
      </c>
      <c r="E44" s="212" t="s">
        <v>32</v>
      </c>
      <c r="F44" s="227">
        <v>1</v>
      </c>
      <c r="G44" s="227" t="s">
        <v>157</v>
      </c>
      <c r="H44" s="227">
        <v>3</v>
      </c>
      <c r="I44" s="213">
        <f t="shared" si="1"/>
        <v>0.89999999999999991</v>
      </c>
      <c r="J44" s="223"/>
      <c r="K44" s="223"/>
      <c r="L44" s="223"/>
      <c r="M44" s="223"/>
      <c r="N44" s="223"/>
      <c r="O44" s="219"/>
    </row>
    <row r="45" spans="1:15" s="176" customFormat="1" x14ac:dyDescent="0.25">
      <c r="A45" s="216">
        <v>160</v>
      </c>
      <c r="B45" s="216" t="s">
        <v>160</v>
      </c>
      <c r="C45" s="217" t="s">
        <v>161</v>
      </c>
      <c r="D45" s="213">
        <v>0.15</v>
      </c>
      <c r="E45" s="216" t="s">
        <v>74</v>
      </c>
      <c r="F45" s="227">
        <v>22</v>
      </c>
      <c r="G45" s="227"/>
      <c r="H45" s="211"/>
      <c r="I45" s="213">
        <f t="shared" si="1"/>
        <v>3.3</v>
      </c>
      <c r="J45" s="223"/>
      <c r="K45" s="223"/>
      <c r="L45" s="223"/>
      <c r="M45" s="223"/>
      <c r="N45" s="223"/>
      <c r="O45" s="219"/>
    </row>
    <row r="46" spans="1:15" s="176" customFormat="1" x14ac:dyDescent="0.25">
      <c r="A46" s="216">
        <v>170</v>
      </c>
      <c r="B46" s="212" t="s">
        <v>162</v>
      </c>
      <c r="C46" s="222" t="s">
        <v>163</v>
      </c>
      <c r="D46" s="213">
        <v>5.25</v>
      </c>
      <c r="E46" s="212" t="s">
        <v>77</v>
      </c>
      <c r="F46" s="227">
        <v>0.01</v>
      </c>
      <c r="G46" s="227"/>
      <c r="H46" s="211"/>
      <c r="I46" s="213">
        <f t="shared" si="1"/>
        <v>5.2499999999999998E-2</v>
      </c>
      <c r="J46" s="223"/>
      <c r="K46" s="223"/>
      <c r="L46" s="223"/>
      <c r="M46" s="226"/>
      <c r="N46" s="223"/>
      <c r="O46" s="219"/>
    </row>
    <row r="47" spans="1:15" s="176" customFormat="1" x14ac:dyDescent="0.25">
      <c r="A47" s="216">
        <v>180</v>
      </c>
      <c r="B47" s="216" t="s">
        <v>154</v>
      </c>
      <c r="C47" s="217" t="s">
        <v>164</v>
      </c>
      <c r="D47" s="213">
        <v>0.14000000000000001</v>
      </c>
      <c r="E47" s="216" t="s">
        <v>32</v>
      </c>
      <c r="F47" s="227">
        <v>1</v>
      </c>
      <c r="G47" s="227"/>
      <c r="H47" s="211"/>
      <c r="I47" s="213">
        <f t="shared" si="1"/>
        <v>0.14000000000000001</v>
      </c>
      <c r="J47" s="223"/>
      <c r="K47" s="223"/>
      <c r="L47" s="223"/>
      <c r="M47" s="223"/>
      <c r="N47" s="223"/>
      <c r="O47" s="219"/>
    </row>
    <row r="48" spans="1:15" s="176" customFormat="1" x14ac:dyDescent="0.25">
      <c r="A48" s="216">
        <v>190</v>
      </c>
      <c r="B48" s="212" t="s">
        <v>75</v>
      </c>
      <c r="C48" s="222" t="s">
        <v>165</v>
      </c>
      <c r="D48" s="213">
        <v>0.13</v>
      </c>
      <c r="E48" s="212" t="s">
        <v>32</v>
      </c>
      <c r="F48" s="227">
        <v>4</v>
      </c>
      <c r="G48" s="227"/>
      <c r="H48" s="211"/>
      <c r="I48" s="213">
        <f t="shared" si="1"/>
        <v>0.52</v>
      </c>
      <c r="J48" s="223"/>
      <c r="K48" s="223"/>
      <c r="L48" s="223"/>
      <c r="M48" s="223"/>
      <c r="N48" s="223"/>
      <c r="O48" s="219"/>
    </row>
    <row r="49" spans="1:15" s="176" customFormat="1" x14ac:dyDescent="0.25">
      <c r="A49" s="216">
        <v>200</v>
      </c>
      <c r="B49" s="212" t="s">
        <v>75</v>
      </c>
      <c r="C49" s="222" t="s">
        <v>166</v>
      </c>
      <c r="D49" s="213">
        <v>0.13</v>
      </c>
      <c r="E49" s="212" t="s">
        <v>32</v>
      </c>
      <c r="F49" s="227">
        <v>8</v>
      </c>
      <c r="G49" s="227"/>
      <c r="H49" s="211"/>
      <c r="I49" s="213">
        <f t="shared" si="1"/>
        <v>1.04</v>
      </c>
      <c r="J49" s="223"/>
      <c r="K49" s="223"/>
      <c r="L49" s="223"/>
      <c r="M49" s="223"/>
      <c r="N49" s="223"/>
      <c r="O49" s="219"/>
    </row>
    <row r="50" spans="1:15" s="176" customFormat="1" x14ac:dyDescent="0.25">
      <c r="A50" s="216">
        <v>210</v>
      </c>
      <c r="B50" s="216" t="s">
        <v>78</v>
      </c>
      <c r="C50" s="217" t="s">
        <v>167</v>
      </c>
      <c r="D50" s="213">
        <v>0.13</v>
      </c>
      <c r="E50" s="216" t="s">
        <v>32</v>
      </c>
      <c r="F50" s="227">
        <v>2</v>
      </c>
      <c r="G50" s="227"/>
      <c r="H50" s="211"/>
      <c r="I50" s="213">
        <f t="shared" si="1"/>
        <v>0.26</v>
      </c>
      <c r="J50" s="223"/>
      <c r="K50" s="223"/>
      <c r="L50" s="223"/>
      <c r="M50" s="223"/>
      <c r="N50" s="223"/>
      <c r="O50" s="219"/>
    </row>
    <row r="51" spans="1:15" s="176" customFormat="1" x14ac:dyDescent="0.25">
      <c r="A51" s="216">
        <v>220</v>
      </c>
      <c r="B51" s="212" t="s">
        <v>79</v>
      </c>
      <c r="C51" s="222" t="s">
        <v>168</v>
      </c>
      <c r="D51" s="213">
        <v>0.25</v>
      </c>
      <c r="E51" s="212" t="s">
        <v>32</v>
      </c>
      <c r="F51" s="227">
        <v>2</v>
      </c>
      <c r="G51" s="227"/>
      <c r="H51" s="211"/>
      <c r="I51" s="213">
        <f t="shared" si="1"/>
        <v>0.5</v>
      </c>
      <c r="J51" s="223"/>
      <c r="K51" s="223"/>
      <c r="L51" s="223"/>
      <c r="M51" s="223"/>
      <c r="N51" s="223"/>
      <c r="O51" s="224"/>
    </row>
    <row r="52" spans="1:15" x14ac:dyDescent="0.25">
      <c r="A52" s="67"/>
      <c r="B52" s="24"/>
      <c r="C52" s="24"/>
      <c r="D52" s="24"/>
      <c r="E52" s="24"/>
      <c r="F52" s="24"/>
      <c r="G52" s="24"/>
      <c r="H52" s="98" t="s">
        <v>18</v>
      </c>
      <c r="I52" s="97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25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25">
      <c r="A54" s="627" t="s">
        <v>14</v>
      </c>
      <c r="B54" s="627" t="s">
        <v>36</v>
      </c>
      <c r="C54" s="627" t="s">
        <v>20</v>
      </c>
      <c r="D54" s="627" t="s">
        <v>21</v>
      </c>
      <c r="E54" s="627" t="s">
        <v>22</v>
      </c>
      <c r="F54" s="627" t="s">
        <v>23</v>
      </c>
      <c r="G54" s="627" t="s">
        <v>24</v>
      </c>
      <c r="H54" s="627" t="s">
        <v>25</v>
      </c>
      <c r="I54" s="627" t="s">
        <v>17</v>
      </c>
      <c r="J54" s="627" t="s">
        <v>18</v>
      </c>
      <c r="K54" s="56"/>
      <c r="L54" s="56"/>
      <c r="M54" s="56"/>
      <c r="N54" s="56"/>
      <c r="O54" s="62"/>
    </row>
    <row r="55" spans="1:15" x14ac:dyDescent="0.25">
      <c r="A55" s="1195">
        <v>10</v>
      </c>
      <c r="B55" s="1195" t="s">
        <v>80</v>
      </c>
      <c r="C55" s="1195" t="s">
        <v>81</v>
      </c>
      <c r="D55" s="1196">
        <f>0.8/105154*E55^2*G55*SQRT(G55)+(0.003*EXP(0.319*E55))</f>
        <v>0.16167651505774214</v>
      </c>
      <c r="E55" s="1195">
        <v>8</v>
      </c>
      <c r="F55" s="1197" t="s">
        <v>30</v>
      </c>
      <c r="G55" s="1198">
        <v>40</v>
      </c>
      <c r="H55" s="1199" t="s">
        <v>30</v>
      </c>
      <c r="I55" s="1200">
        <v>2</v>
      </c>
      <c r="J55" s="1201">
        <f>D55*I55</f>
        <v>0.32335303011548427</v>
      </c>
      <c r="K55" s="56"/>
      <c r="L55" s="56"/>
      <c r="M55" s="56"/>
      <c r="N55" s="56"/>
      <c r="O55" s="62"/>
    </row>
    <row r="56" spans="1:15" x14ac:dyDescent="0.25">
      <c r="A56" s="1195">
        <v>20</v>
      </c>
      <c r="B56" s="1195" t="s">
        <v>82</v>
      </c>
      <c r="C56" s="1195" t="s">
        <v>83</v>
      </c>
      <c r="D56" s="1202">
        <f>(0.009*EXP(0.2*E56))</f>
        <v>4.4577291819556032E-2</v>
      </c>
      <c r="E56" s="1195">
        <v>8</v>
      </c>
      <c r="F56" s="1197" t="s">
        <v>30</v>
      </c>
      <c r="G56" s="1195"/>
      <c r="H56" s="1199"/>
      <c r="I56" s="1200">
        <v>2</v>
      </c>
      <c r="J56" s="1201">
        <f>D56*I56</f>
        <v>8.9154583639112064E-2</v>
      </c>
      <c r="K56" s="56"/>
      <c r="L56" s="56"/>
      <c r="M56" s="56"/>
      <c r="N56" s="56"/>
      <c r="O56" s="62"/>
    </row>
    <row r="57" spans="1:15" x14ac:dyDescent="0.25">
      <c r="A57" s="1195">
        <v>30</v>
      </c>
      <c r="B57" s="1195" t="s">
        <v>84</v>
      </c>
      <c r="C57" s="1195" t="s">
        <v>85</v>
      </c>
      <c r="D57" s="1195">
        <v>0.01</v>
      </c>
      <c r="E57" s="1195">
        <v>8</v>
      </c>
      <c r="F57" s="1197" t="s">
        <v>30</v>
      </c>
      <c r="G57" s="1195"/>
      <c r="H57" s="1199"/>
      <c r="I57" s="1200">
        <v>4</v>
      </c>
      <c r="J57" s="1201">
        <f>D57*I57</f>
        <v>0.04</v>
      </c>
      <c r="K57" s="58"/>
      <c r="L57" s="58"/>
      <c r="M57" s="58"/>
      <c r="N57" s="58"/>
      <c r="O57" s="62"/>
    </row>
    <row r="58" spans="1:15" x14ac:dyDescent="0.25">
      <c r="A58" s="67"/>
      <c r="B58" s="24"/>
      <c r="C58" s="24"/>
      <c r="D58" s="24"/>
      <c r="E58" s="24"/>
      <c r="F58" s="24"/>
      <c r="G58" s="24"/>
      <c r="H58" s="24"/>
      <c r="I58" s="254" t="s">
        <v>18</v>
      </c>
      <c r="J58" s="234">
        <f>SUM(J55:J57)</f>
        <v>0.45250761375459631</v>
      </c>
      <c r="K58" s="56"/>
      <c r="L58" s="56"/>
      <c r="M58" s="56"/>
      <c r="N58" s="56"/>
      <c r="O58" s="62"/>
    </row>
    <row r="59" spans="1:15" x14ac:dyDescent="0.25">
      <c r="A59" s="63"/>
      <c r="B59" s="56"/>
      <c r="C59" s="56"/>
      <c r="D59" s="56"/>
      <c r="E59" s="56"/>
      <c r="F59" s="56"/>
      <c r="G59" s="56"/>
      <c r="H59" s="56"/>
      <c r="I59" s="56"/>
      <c r="J59" s="56"/>
      <c r="K59" s="56"/>
      <c r="L59" s="56"/>
      <c r="M59" s="56"/>
      <c r="N59" s="56"/>
      <c r="O59" s="62"/>
    </row>
    <row r="60" spans="1:15" s="176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18"/>
      <c r="K60" s="220"/>
      <c r="L60" s="220"/>
      <c r="M60" s="220"/>
      <c r="N60" s="220"/>
      <c r="O60" s="221"/>
    </row>
    <row r="61" spans="1:15" s="176" customFormat="1" x14ac:dyDescent="0.25">
      <c r="A61" s="216">
        <v>10</v>
      </c>
      <c r="B61" s="216" t="s">
        <v>182</v>
      </c>
      <c r="C61" s="216" t="s">
        <v>183</v>
      </c>
      <c r="D61" s="237">
        <v>500</v>
      </c>
      <c r="E61" s="216" t="s">
        <v>184</v>
      </c>
      <c r="F61" s="216">
        <f>8</f>
        <v>8</v>
      </c>
      <c r="G61" s="216">
        <v>3000</v>
      </c>
      <c r="H61" s="216">
        <v>1</v>
      </c>
      <c r="I61" s="238">
        <f>D61*F61/G61*H61</f>
        <v>1.3333333333333333</v>
      </c>
      <c r="J61" s="218"/>
      <c r="K61" s="220"/>
      <c r="L61" s="220"/>
      <c r="M61" s="220"/>
      <c r="N61" s="220"/>
      <c r="O61" s="221"/>
    </row>
    <row r="62" spans="1:15" s="176" customFormat="1" x14ac:dyDescent="0.25">
      <c r="A62" s="239"/>
      <c r="B62" s="218"/>
      <c r="C62" s="218"/>
      <c r="D62" s="218"/>
      <c r="E62" s="218"/>
      <c r="F62" s="218"/>
      <c r="G62" s="218"/>
      <c r="H62" s="241" t="s">
        <v>18</v>
      </c>
      <c r="I62" s="240">
        <f>SUM(I61:I61)</f>
        <v>1.3333333333333333</v>
      </c>
      <c r="J62" s="218"/>
      <c r="K62" s="220"/>
      <c r="L62" s="220"/>
      <c r="M62" s="220"/>
      <c r="N62" s="220"/>
      <c r="O62" s="221"/>
    </row>
    <row r="63" spans="1:15" ht="15.75" thickBot="1" x14ac:dyDescent="0.3">
      <c r="A63" s="69"/>
      <c r="B63" s="70"/>
      <c r="C63" s="70"/>
      <c r="D63" s="70"/>
      <c r="E63" s="70"/>
      <c r="F63" s="70"/>
      <c r="G63" s="70"/>
      <c r="H63" s="70"/>
      <c r="I63" s="70"/>
      <c r="J63" s="70"/>
      <c r="K63" s="70"/>
      <c r="L63" s="70"/>
      <c r="M63" s="70"/>
      <c r="N63" s="70"/>
      <c r="O63" s="71"/>
    </row>
    <row r="64" spans="1:15" x14ac:dyDescent="0.25">
      <c r="A64" s="56"/>
      <c r="B64" s="56"/>
      <c r="C64" s="56"/>
      <c r="D64" s="56"/>
      <c r="E64" s="56"/>
      <c r="F64" s="56"/>
      <c r="G64" s="56"/>
      <c r="H64" s="56"/>
      <c r="I64" s="56"/>
      <c r="J64" s="56"/>
      <c r="K64" s="56"/>
      <c r="L64" s="56"/>
      <c r="M64" s="56"/>
      <c r="N64" s="56"/>
    </row>
  </sheetData>
  <hyperlinks>
    <hyperlink ref="B10" location="SU_01001" display="SU_01001" xr:uid="{00000000-0004-0000-0100-000000000000}"/>
    <hyperlink ref="B11:B13" location="BR_01001" display="BR_01001" xr:uid="{00000000-0004-0000-0100-000001000000}"/>
    <hyperlink ref="B14" location="SU_01005" display="SU_01005" xr:uid="{00000000-0004-0000-0100-000002000000}"/>
    <hyperlink ref="B16" location="SU_01007" display="SU_01007" xr:uid="{00000000-0004-0000-0100-000003000000}"/>
    <hyperlink ref="B11" location="SU_01002" display="SU_01002" xr:uid="{00000000-0004-0000-0100-000004000000}"/>
    <hyperlink ref="B12" location="SU_01003" display="SU_01003" xr:uid="{00000000-0004-0000-0100-000005000000}"/>
    <hyperlink ref="B13" location="SU_01004" display="SU_01004" xr:uid="{00000000-0004-0000-0100-000006000000}"/>
    <hyperlink ref="E2" location="SU_A0100_BOM" display="Back to BOM" xr:uid="{00000000-0004-0000-0100-000007000000}"/>
    <hyperlink ref="B15" location="SU_01006" display="Spacer 2" xr:uid="{00000000-0004-0000-0100-000008000000}"/>
    <hyperlink ref="B17" location="SU_01008" display="SU_01008" xr:uid="{00000000-0004-0000-0100-000009000000}"/>
    <hyperlink ref="B18" location="SU_01010" display="SU_01010" xr:uid="{00000000-0004-0000-0100-00000A000000}"/>
    <hyperlink ref="B19" location="SU_01010" display="SU_01010" xr:uid="{00000000-0004-0000-0100-00000B000000}"/>
    <hyperlink ref="B20" location="SU_01011" display="SU_01011" xr:uid="{00000000-0004-0000-01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5703125" customWidth="1"/>
  </cols>
  <sheetData>
    <row r="1" spans="1:2" x14ac:dyDescent="0.25">
      <c r="A1" t="s">
        <v>124</v>
      </c>
      <c r="B1" s="270" t="s">
        <v>213</v>
      </c>
    </row>
  </sheetData>
  <hyperlinks>
    <hyperlink ref="B1" location="SU_01010" display="SU_01010" xr:uid="{00000000-0004-0000-1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FFFF66"/>
    <pageSetUpPr fitToPage="1"/>
  </sheetPr>
  <dimension ref="A1:O22"/>
  <sheetViews>
    <sheetView topLeftCell="A7" zoomScaleNormal="100" zoomScalePageLayoutView="70" workbookViewId="0">
      <selection activeCell="B7" sqref="B7"/>
    </sheetView>
  </sheetViews>
  <sheetFormatPr baseColWidth="10" defaultRowHeight="15" x14ac:dyDescent="0.25"/>
  <cols>
    <col min="2" max="2" width="17.42578125" customWidth="1"/>
    <col min="3" max="3" width="17.28515625" customWidth="1"/>
    <col min="7" max="7" width="14.57031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300" t="s">
        <v>0</v>
      </c>
      <c r="B2" s="16" t="s">
        <v>37</v>
      </c>
      <c r="C2" s="258"/>
      <c r="D2" s="258"/>
      <c r="E2" s="258"/>
      <c r="F2" s="266" t="s">
        <v>62</v>
      </c>
      <c r="G2" s="258"/>
      <c r="H2" s="258"/>
      <c r="I2" s="258"/>
      <c r="J2" s="99" t="s">
        <v>1</v>
      </c>
      <c r="K2" s="262">
        <v>81</v>
      </c>
      <c r="L2" s="258"/>
      <c r="M2" s="286" t="s">
        <v>16</v>
      </c>
      <c r="N2" s="260">
        <v>0.37972487499999996</v>
      </c>
      <c r="O2" s="259"/>
    </row>
    <row r="3" spans="1:15" x14ac:dyDescent="0.25">
      <c r="A3" s="300" t="s">
        <v>3</v>
      </c>
      <c r="B3" s="16" t="str">
        <f>'SU A0100'!B3</f>
        <v>Suspension &amp; Shocks</v>
      </c>
      <c r="C3" s="262"/>
      <c r="D3" s="333" t="s">
        <v>6</v>
      </c>
      <c r="E3" s="270" t="s">
        <v>60</v>
      </c>
      <c r="F3" s="258"/>
      <c r="G3" s="258"/>
      <c r="H3" s="258"/>
      <c r="I3" s="258"/>
      <c r="J3" s="258"/>
      <c r="K3" s="258"/>
      <c r="L3" s="258"/>
      <c r="M3" s="286" t="s">
        <v>4</v>
      </c>
      <c r="N3" s="263">
        <v>1</v>
      </c>
      <c r="O3" s="259"/>
    </row>
    <row r="4" spans="1:15" x14ac:dyDescent="0.25">
      <c r="A4" s="300" t="s">
        <v>5</v>
      </c>
      <c r="B4" s="87" t="str">
        <f>'SU A0100'!B4</f>
        <v>Upper Front A-arm</v>
      </c>
      <c r="C4" s="258"/>
      <c r="D4" s="333" t="s">
        <v>8</v>
      </c>
      <c r="E4" s="335"/>
      <c r="F4" s="258"/>
      <c r="G4" s="258"/>
      <c r="H4" s="258"/>
      <c r="I4" s="258"/>
      <c r="J4" s="99" t="s">
        <v>6</v>
      </c>
      <c r="K4" s="258"/>
      <c r="L4" s="258"/>
      <c r="M4" s="258"/>
      <c r="N4" s="258"/>
      <c r="O4" s="259"/>
    </row>
    <row r="5" spans="1:15" x14ac:dyDescent="0.25">
      <c r="A5" s="1215" t="s">
        <v>15</v>
      </c>
      <c r="B5" s="1216" t="s">
        <v>218</v>
      </c>
      <c r="C5" s="258"/>
      <c r="D5" s="333" t="s">
        <v>12</v>
      </c>
      <c r="E5" s="335"/>
      <c r="F5" s="258"/>
      <c r="G5" s="258"/>
      <c r="H5" s="258"/>
      <c r="I5" s="258"/>
      <c r="J5" s="99" t="s">
        <v>8</v>
      </c>
      <c r="K5" s="258"/>
      <c r="L5" s="258"/>
      <c r="M5" s="286" t="s">
        <v>9</v>
      </c>
      <c r="N5" s="260">
        <f>N2*SU_01011_q</f>
        <v>0.37972487499999996</v>
      </c>
      <c r="O5" s="259"/>
    </row>
    <row r="6" spans="1:15" x14ac:dyDescent="0.25">
      <c r="A6" s="300" t="s">
        <v>7</v>
      </c>
      <c r="B6" s="28" t="s">
        <v>214</v>
      </c>
      <c r="C6" s="258"/>
      <c r="D6" s="258"/>
      <c r="E6" s="258"/>
      <c r="F6" s="258"/>
      <c r="G6" s="258"/>
      <c r="H6" s="258"/>
      <c r="I6" s="258"/>
      <c r="J6" s="99" t="s">
        <v>12</v>
      </c>
      <c r="K6" s="258"/>
      <c r="L6" s="258"/>
      <c r="M6" s="258"/>
      <c r="N6" s="258"/>
      <c r="O6" s="259"/>
    </row>
    <row r="7" spans="1:15" x14ac:dyDescent="0.25">
      <c r="A7" s="300" t="s">
        <v>10</v>
      </c>
      <c r="B7" s="16" t="s">
        <v>11</v>
      </c>
      <c r="C7" s="258"/>
      <c r="D7" s="258"/>
      <c r="E7" s="258"/>
      <c r="F7" s="258"/>
      <c r="G7" s="258"/>
      <c r="H7" s="258"/>
      <c r="I7" s="258"/>
      <c r="J7" s="258"/>
      <c r="K7" s="258"/>
      <c r="L7" s="258"/>
      <c r="M7" s="258"/>
      <c r="N7" s="258"/>
      <c r="O7" s="259"/>
    </row>
    <row r="8" spans="1:15" x14ac:dyDescent="0.25">
      <c r="A8" s="300" t="s">
        <v>13</v>
      </c>
      <c r="B8" s="258" t="s">
        <v>203</v>
      </c>
      <c r="C8" s="258"/>
      <c r="D8" s="258"/>
      <c r="E8" s="258"/>
      <c r="F8" s="258"/>
      <c r="G8" s="258"/>
      <c r="H8" s="258"/>
      <c r="I8" s="258"/>
      <c r="J8" s="258"/>
      <c r="K8" s="258"/>
      <c r="L8" s="258"/>
      <c r="M8" s="258"/>
      <c r="N8" s="258"/>
      <c r="O8" s="259"/>
    </row>
    <row r="9" spans="1:15" x14ac:dyDescent="0.25">
      <c r="A9" s="274"/>
      <c r="B9" s="258"/>
      <c r="C9" s="258"/>
      <c r="D9" s="258"/>
      <c r="E9" s="258"/>
      <c r="F9" s="258"/>
      <c r="G9" s="258"/>
      <c r="H9" s="258"/>
      <c r="I9" s="258"/>
      <c r="J9" s="258"/>
      <c r="K9" s="258"/>
      <c r="L9" s="258"/>
      <c r="M9" s="258"/>
      <c r="N9" s="258"/>
      <c r="O9" s="259"/>
    </row>
    <row r="10" spans="1:15" x14ac:dyDescent="0.25">
      <c r="A10" s="301" t="s">
        <v>14</v>
      </c>
      <c r="B10" s="282" t="s">
        <v>19</v>
      </c>
      <c r="C10" s="282" t="s">
        <v>20</v>
      </c>
      <c r="D10" s="282" t="s">
        <v>21</v>
      </c>
      <c r="E10" s="282" t="s">
        <v>22</v>
      </c>
      <c r="F10" s="282" t="s">
        <v>23</v>
      </c>
      <c r="G10" s="282" t="s">
        <v>24</v>
      </c>
      <c r="H10" s="282" t="s">
        <v>25</v>
      </c>
      <c r="I10" s="282" t="s">
        <v>26</v>
      </c>
      <c r="J10" s="282" t="s">
        <v>27</v>
      </c>
      <c r="K10" s="282" t="s">
        <v>28</v>
      </c>
      <c r="L10" s="282" t="s">
        <v>29</v>
      </c>
      <c r="M10" s="282" t="s">
        <v>17</v>
      </c>
      <c r="N10" s="282" t="s">
        <v>18</v>
      </c>
      <c r="O10" s="259"/>
    </row>
    <row r="11" spans="1:15" ht="30" x14ac:dyDescent="0.25">
      <c r="A11" s="278">
        <v>10</v>
      </c>
      <c r="B11" s="302" t="s">
        <v>204</v>
      </c>
      <c r="C11" s="303" t="s">
        <v>205</v>
      </c>
      <c r="D11" s="288">
        <v>2.25</v>
      </c>
      <c r="E11" s="304">
        <f>J11*K11*L11</f>
        <v>4.9847500000000003E-2</v>
      </c>
      <c r="F11" s="305" t="s">
        <v>141</v>
      </c>
      <c r="G11" s="305"/>
      <c r="H11" s="306"/>
      <c r="I11" s="307" t="s">
        <v>206</v>
      </c>
      <c r="J11" s="308">
        <v>1.2700000000000001E-3</v>
      </c>
      <c r="K11" s="308">
        <v>5.0000000000000001E-3</v>
      </c>
      <c r="L11" s="309">
        <v>7850</v>
      </c>
      <c r="M11" s="309">
        <v>1</v>
      </c>
      <c r="N11" s="310">
        <f>IF(J11="",D11*M11,D11*J11*K11*L11*M11)</f>
        <v>0.11215687500000002</v>
      </c>
      <c r="O11" s="259"/>
    </row>
    <row r="12" spans="1:15" x14ac:dyDescent="0.25">
      <c r="A12" s="278">
        <v>20</v>
      </c>
      <c r="B12" s="302" t="s">
        <v>207</v>
      </c>
      <c r="C12" s="303"/>
      <c r="D12" s="311">
        <v>10</v>
      </c>
      <c r="E12" s="312">
        <f>2*J11</f>
        <v>2.5400000000000002E-3</v>
      </c>
      <c r="F12" s="313" t="s">
        <v>202</v>
      </c>
      <c r="G12" s="305"/>
      <c r="H12" s="306"/>
      <c r="I12" s="307"/>
      <c r="J12" s="308"/>
      <c r="K12" s="306"/>
      <c r="L12" s="309"/>
      <c r="M12" s="309"/>
      <c r="N12" s="310">
        <f>E12*D12</f>
        <v>2.5400000000000002E-2</v>
      </c>
      <c r="O12" s="259"/>
    </row>
    <row r="13" spans="1:15" x14ac:dyDescent="0.25">
      <c r="A13" s="275"/>
      <c r="B13" s="276"/>
      <c r="C13" s="276"/>
      <c r="D13" s="276"/>
      <c r="E13" s="276"/>
      <c r="F13" s="276"/>
      <c r="G13" s="276"/>
      <c r="H13" s="276"/>
      <c r="I13" s="276"/>
      <c r="J13" s="276"/>
      <c r="K13" s="276"/>
      <c r="L13" s="276"/>
      <c r="M13" s="284" t="s">
        <v>18</v>
      </c>
      <c r="N13" s="283">
        <f>SUM(N11:N12)</f>
        <v>0.13755687500000002</v>
      </c>
      <c r="O13" s="259"/>
    </row>
    <row r="14" spans="1:15" x14ac:dyDescent="0.25">
      <c r="A14" s="274"/>
      <c r="B14" s="258"/>
      <c r="C14" s="258"/>
      <c r="D14" s="258"/>
      <c r="E14" s="258"/>
      <c r="F14" s="258"/>
      <c r="G14" s="258"/>
      <c r="H14" s="258"/>
      <c r="I14" s="258"/>
      <c r="J14" s="258"/>
      <c r="K14" s="258"/>
      <c r="L14" s="258"/>
      <c r="M14" s="258"/>
      <c r="N14" s="258"/>
      <c r="O14" s="259"/>
    </row>
    <row r="15" spans="1:15" x14ac:dyDescent="0.25">
      <c r="A15" s="301" t="s">
        <v>14</v>
      </c>
      <c r="B15" s="282" t="s">
        <v>31</v>
      </c>
      <c r="C15" s="282" t="s">
        <v>20</v>
      </c>
      <c r="D15" s="282" t="s">
        <v>21</v>
      </c>
      <c r="E15" s="282" t="s">
        <v>32</v>
      </c>
      <c r="F15" s="282" t="s">
        <v>17</v>
      </c>
      <c r="G15" s="282" t="s">
        <v>33</v>
      </c>
      <c r="H15" s="282" t="s">
        <v>34</v>
      </c>
      <c r="I15" s="282" t="s">
        <v>18</v>
      </c>
      <c r="J15" s="276"/>
      <c r="K15" s="276"/>
      <c r="L15" s="276"/>
      <c r="M15" s="276"/>
      <c r="N15" s="276"/>
      <c r="O15" s="259"/>
    </row>
    <row r="16" spans="1:15" ht="28.15" customHeight="1" x14ac:dyDescent="0.25">
      <c r="A16" s="314">
        <v>10</v>
      </c>
      <c r="B16" s="293" t="s">
        <v>39</v>
      </c>
      <c r="C16" s="315" t="s">
        <v>208</v>
      </c>
      <c r="D16" s="316">
        <v>1.3</v>
      </c>
      <c r="E16" s="293" t="s">
        <v>32</v>
      </c>
      <c r="F16" s="294">
        <v>1</v>
      </c>
      <c r="G16" s="315" t="s">
        <v>220</v>
      </c>
      <c r="H16" s="317">
        <v>0.5</v>
      </c>
      <c r="I16" s="289">
        <f>H16*D16</f>
        <v>0.65</v>
      </c>
      <c r="J16" s="294"/>
      <c r="K16" s="258"/>
      <c r="L16" s="258"/>
      <c r="M16" s="258"/>
      <c r="N16" s="258"/>
      <c r="O16" s="259"/>
    </row>
    <row r="17" spans="1:15" x14ac:dyDescent="0.25">
      <c r="A17" s="318">
        <v>20</v>
      </c>
      <c r="B17" s="290" t="s">
        <v>209</v>
      </c>
      <c r="C17" s="291"/>
      <c r="D17" s="316">
        <v>0.01</v>
      </c>
      <c r="E17" s="290" t="s">
        <v>40</v>
      </c>
      <c r="F17" s="320">
        <v>11.5</v>
      </c>
      <c r="G17" s="293"/>
      <c r="H17" s="317"/>
      <c r="I17" s="289">
        <f>IF(H17="",D17*F17,D17*F17*H17)</f>
        <v>0.115</v>
      </c>
      <c r="J17" s="294"/>
      <c r="K17" s="258"/>
      <c r="L17" s="258"/>
      <c r="M17" s="258"/>
      <c r="N17" s="258"/>
      <c r="O17" s="259"/>
    </row>
    <row r="18" spans="1:15" ht="60" x14ac:dyDescent="0.25">
      <c r="A18" s="314">
        <v>30</v>
      </c>
      <c r="B18" s="319" t="s">
        <v>39</v>
      </c>
      <c r="C18" s="292"/>
      <c r="D18" s="295">
        <v>0.65</v>
      </c>
      <c r="E18" s="292" t="s">
        <v>32</v>
      </c>
      <c r="F18" s="292">
        <v>1</v>
      </c>
      <c r="G18" s="315" t="s">
        <v>220</v>
      </c>
      <c r="H18" s="292">
        <v>0.5</v>
      </c>
      <c r="I18" s="296">
        <f t="shared" ref="I18:I19" si="0">IF(H18="",D18*F18,D18*F18*H18)</f>
        <v>0.32500000000000001</v>
      </c>
      <c r="J18" s="294"/>
      <c r="K18" s="258"/>
      <c r="L18" s="258"/>
      <c r="M18" s="258"/>
      <c r="N18" s="258"/>
      <c r="O18" s="259"/>
    </row>
    <row r="19" spans="1:15" x14ac:dyDescent="0.25">
      <c r="A19" s="318">
        <v>40</v>
      </c>
      <c r="B19" s="292" t="s">
        <v>92</v>
      </c>
      <c r="C19" s="292" t="s">
        <v>219</v>
      </c>
      <c r="D19" s="295">
        <v>2.9000000000000001E-2</v>
      </c>
      <c r="E19" s="292" t="s">
        <v>93</v>
      </c>
      <c r="F19" s="292">
        <v>1</v>
      </c>
      <c r="G19" s="292" t="s">
        <v>197</v>
      </c>
      <c r="H19" s="292">
        <v>3</v>
      </c>
      <c r="I19" s="296">
        <f t="shared" si="0"/>
        <v>8.7000000000000008E-2</v>
      </c>
      <c r="J19" s="297"/>
      <c r="K19" s="276"/>
      <c r="L19" s="276"/>
      <c r="M19" s="276"/>
      <c r="N19" s="276"/>
      <c r="O19" s="259"/>
    </row>
    <row r="20" spans="1:15" x14ac:dyDescent="0.25">
      <c r="A20" s="314">
        <v>50</v>
      </c>
      <c r="B20" s="293" t="s">
        <v>162</v>
      </c>
      <c r="C20" s="291" t="s">
        <v>210</v>
      </c>
      <c r="D20" s="298">
        <v>5.25</v>
      </c>
      <c r="E20" s="293" t="s">
        <v>202</v>
      </c>
      <c r="F20" s="445">
        <f>2*J11</f>
        <v>2.5400000000000002E-3</v>
      </c>
      <c r="G20" s="293"/>
      <c r="H20" s="317"/>
      <c r="I20" s="296">
        <f>F20*D20</f>
        <v>1.3335000000000001E-2</v>
      </c>
      <c r="J20" s="299"/>
      <c r="K20" s="56"/>
      <c r="L20" s="56"/>
      <c r="M20" s="56"/>
      <c r="N20" s="56"/>
      <c r="O20" s="259"/>
    </row>
    <row r="21" spans="1:15" x14ac:dyDescent="0.25">
      <c r="A21" s="275"/>
      <c r="B21" s="276"/>
      <c r="C21" s="276"/>
      <c r="D21" s="276"/>
      <c r="E21" s="276"/>
      <c r="F21" s="276"/>
      <c r="G21" s="276"/>
      <c r="H21" s="284" t="s">
        <v>18</v>
      </c>
      <c r="I21" s="285">
        <f>SUM(I16:I20)</f>
        <v>1.1903350000000001</v>
      </c>
      <c r="J21" s="56"/>
      <c r="K21" s="56"/>
      <c r="L21" s="56"/>
      <c r="M21" s="56"/>
      <c r="N21" s="56"/>
      <c r="O21" s="259"/>
    </row>
    <row r="22" spans="1:15" ht="15.75" thickBot="1" x14ac:dyDescent="0.3">
      <c r="A22" s="279"/>
      <c r="B22" s="280"/>
      <c r="C22" s="280"/>
      <c r="D22" s="280"/>
      <c r="E22" s="280"/>
      <c r="F22" s="280"/>
      <c r="G22" s="280"/>
      <c r="H22" s="280"/>
      <c r="I22" s="280"/>
      <c r="J22" s="280"/>
      <c r="K22" s="280"/>
      <c r="L22" s="280"/>
      <c r="M22" s="280"/>
      <c r="N22" s="280"/>
      <c r="O22" s="281"/>
    </row>
  </sheetData>
  <hyperlinks>
    <hyperlink ref="B4" location="'SU A0100'!A1" display="'SU A0100'!A1" xr:uid="{00000000-0004-0000-1400-000000000000}"/>
    <hyperlink ref="F2" location="SU_A0100_BOM" display="Back to BOM" xr:uid="{00000000-0004-0000-1400-000001000000}"/>
    <hyperlink ref="E3" location="dSU_01011" display="Drawing" xr:uid="{00000000-0004-0000-1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0" t="s">
        <v>214</v>
      </c>
    </row>
  </sheetData>
  <hyperlinks>
    <hyperlink ref="B1" location="SU_01011" display="SU_01011" xr:uid="{00000000-0004-0000-1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FF00"/>
    <pageSetUpPr fitToPage="1"/>
  </sheetPr>
  <dimension ref="A1:O64"/>
  <sheetViews>
    <sheetView zoomScale="80" zoomScaleNormal="80" zoomScaleSheetLayoutView="80" zoomScalePageLayoutView="70" workbookViewId="0">
      <selection activeCell="E46" sqref="E46"/>
    </sheetView>
  </sheetViews>
  <sheetFormatPr baseColWidth="10" defaultColWidth="9.140625" defaultRowHeight="15" x14ac:dyDescent="0.25"/>
  <cols>
    <col min="2" max="2" width="57.140625" customWidth="1"/>
    <col min="3" max="3" width="49.28515625" customWidth="1"/>
    <col min="5" max="5" width="9.85546875" customWidth="1"/>
    <col min="14" max="14" width="11.5703125" customWidth="1"/>
    <col min="15" max="15" width="5.28515625" customWidth="1"/>
  </cols>
  <sheetData>
    <row r="1" spans="1:15" x14ac:dyDescent="0.25">
      <c r="A1" s="330"/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2"/>
    </row>
    <row r="2" spans="1:15" x14ac:dyDescent="0.25">
      <c r="A2" s="460" t="s">
        <v>0</v>
      </c>
      <c r="B2" s="334" t="s">
        <v>37</v>
      </c>
      <c r="C2" s="335"/>
      <c r="D2" s="335"/>
      <c r="E2" s="336" t="s">
        <v>62</v>
      </c>
      <c r="F2" s="335"/>
      <c r="G2" s="335"/>
      <c r="H2" s="335"/>
      <c r="I2" s="335"/>
      <c r="J2" s="460" t="s">
        <v>1</v>
      </c>
      <c r="K2" s="338">
        <v>81</v>
      </c>
      <c r="L2" s="335"/>
      <c r="M2" s="460" t="s">
        <v>2</v>
      </c>
      <c r="N2" s="461">
        <f>SU_A0200_pa+SU_A0200_m+SU_A0200_p+SU_A0200_f</f>
        <v>75.396083383825172</v>
      </c>
      <c r="O2" s="340"/>
    </row>
    <row r="3" spans="1:15" x14ac:dyDescent="0.25">
      <c r="A3" s="460" t="s">
        <v>3</v>
      </c>
      <c r="B3" s="334" t="s">
        <v>63</v>
      </c>
      <c r="C3" s="335"/>
      <c r="D3" s="335"/>
      <c r="E3" s="335"/>
      <c r="F3" s="335"/>
      <c r="G3" s="335"/>
      <c r="H3" s="335"/>
      <c r="I3" s="335"/>
      <c r="J3" s="335"/>
      <c r="K3" s="335"/>
      <c r="L3" s="335"/>
      <c r="M3" s="460" t="s">
        <v>4</v>
      </c>
      <c r="N3" s="342">
        <v>2</v>
      </c>
      <c r="O3" s="340"/>
    </row>
    <row r="4" spans="1:15" x14ac:dyDescent="0.25">
      <c r="A4" s="460" t="s">
        <v>5</v>
      </c>
      <c r="B4" s="335" t="s">
        <v>105</v>
      </c>
      <c r="C4" s="335"/>
      <c r="D4" s="335"/>
      <c r="E4" s="335"/>
      <c r="F4" s="335"/>
      <c r="G4" s="335"/>
      <c r="H4" s="335"/>
      <c r="I4" s="335"/>
      <c r="J4" s="462" t="s">
        <v>6</v>
      </c>
      <c r="K4" s="335"/>
      <c r="L4" s="335"/>
      <c r="M4" s="335"/>
      <c r="N4" s="335"/>
      <c r="O4" s="340"/>
    </row>
    <row r="5" spans="1:15" x14ac:dyDescent="0.25">
      <c r="A5" s="460" t="s">
        <v>7</v>
      </c>
      <c r="B5" s="377" t="s">
        <v>106</v>
      </c>
      <c r="C5" s="335"/>
      <c r="D5" s="335"/>
      <c r="E5" s="335"/>
      <c r="F5" s="335"/>
      <c r="G5" s="335"/>
      <c r="H5" s="335"/>
      <c r="I5" s="335"/>
      <c r="J5" s="462" t="s">
        <v>8</v>
      </c>
      <c r="K5" s="335"/>
      <c r="L5" s="335"/>
      <c r="M5" s="460" t="s">
        <v>9</v>
      </c>
      <c r="N5" s="339">
        <f>N2*N3</f>
        <v>150.79216676765034</v>
      </c>
      <c r="O5" s="340"/>
    </row>
    <row r="6" spans="1:15" x14ac:dyDescent="0.25">
      <c r="A6" s="460" t="s">
        <v>10</v>
      </c>
      <c r="B6" s="334"/>
      <c r="C6" s="335"/>
      <c r="D6" s="335"/>
      <c r="E6" s="335"/>
      <c r="F6" s="335"/>
      <c r="G6" s="335"/>
      <c r="H6" s="335"/>
      <c r="I6" s="335"/>
      <c r="J6" s="462" t="s">
        <v>12</v>
      </c>
      <c r="K6" s="335"/>
      <c r="L6" s="335"/>
      <c r="M6" s="335"/>
      <c r="N6" s="335"/>
      <c r="O6" s="340"/>
    </row>
    <row r="7" spans="1:15" x14ac:dyDescent="0.25">
      <c r="A7" s="460" t="s">
        <v>13</v>
      </c>
      <c r="B7" s="334"/>
      <c r="C7" s="335"/>
      <c r="D7" s="335"/>
      <c r="E7" s="335"/>
      <c r="F7" s="335"/>
      <c r="G7" s="335"/>
      <c r="H7" s="335"/>
      <c r="I7" s="335"/>
      <c r="J7" s="335"/>
      <c r="K7" s="335"/>
      <c r="L7" s="335"/>
      <c r="M7" s="335"/>
      <c r="N7" s="335"/>
      <c r="O7" s="340"/>
    </row>
    <row r="8" spans="1:15" x14ac:dyDescent="0.25">
      <c r="A8" s="367"/>
      <c r="B8" s="335"/>
      <c r="C8" s="335"/>
      <c r="D8" s="335"/>
      <c r="E8" s="335"/>
      <c r="F8" s="335"/>
      <c r="G8" s="335"/>
      <c r="H8" s="335"/>
      <c r="I8" s="335"/>
      <c r="J8" s="335"/>
      <c r="K8" s="335"/>
      <c r="L8" s="335"/>
      <c r="M8" s="335"/>
      <c r="N8" s="335"/>
      <c r="O8" s="340"/>
    </row>
    <row r="9" spans="1:15" x14ac:dyDescent="0.25">
      <c r="A9" s="460" t="s">
        <v>14</v>
      </c>
      <c r="B9" s="460" t="s">
        <v>15</v>
      </c>
      <c r="C9" s="460" t="s">
        <v>16</v>
      </c>
      <c r="D9" s="460" t="s">
        <v>17</v>
      </c>
      <c r="E9" s="460" t="s">
        <v>18</v>
      </c>
      <c r="F9" s="335"/>
      <c r="G9" s="335"/>
      <c r="H9" s="335"/>
      <c r="I9" s="335"/>
      <c r="J9" s="335"/>
      <c r="K9" s="335"/>
      <c r="L9" s="335"/>
      <c r="M9" s="335"/>
      <c r="N9" s="335"/>
      <c r="O9" s="340"/>
    </row>
    <row r="10" spans="1:15" x14ac:dyDescent="0.25">
      <c r="A10" s="382">
        <v>10</v>
      </c>
      <c r="B10" s="463" t="str">
        <f>'SU 02001'!B5</f>
        <v>Lower Front Bearing Support</v>
      </c>
      <c r="C10" s="339">
        <f>'SU 02001'!N2</f>
        <v>9.1140000000000008</v>
      </c>
      <c r="D10" s="464">
        <f>SU_02001_q</f>
        <v>1</v>
      </c>
      <c r="E10" s="339">
        <f t="shared" ref="E10:E20" si="0">C10*D10</f>
        <v>9.1140000000000008</v>
      </c>
      <c r="F10" s="335"/>
      <c r="G10" s="335"/>
      <c r="H10" s="335"/>
      <c r="I10" s="335"/>
      <c r="J10" s="335"/>
      <c r="K10" s="335"/>
      <c r="L10" s="335"/>
      <c r="M10" s="335"/>
      <c r="N10" s="335"/>
      <c r="O10" s="340"/>
    </row>
    <row r="11" spans="1:15" x14ac:dyDescent="0.25">
      <c r="A11" s="382">
        <v>20</v>
      </c>
      <c r="B11" s="463" t="str">
        <f>'SU 02002'!B5</f>
        <v>Inner Bearing Support</v>
      </c>
      <c r="C11" s="339">
        <f>'SU 02002'!N2</f>
        <v>1.8728805440000003</v>
      </c>
      <c r="D11" s="382">
        <f>SU_02002_q</f>
        <v>2</v>
      </c>
      <c r="E11" s="339">
        <f t="shared" si="0"/>
        <v>3.7457610880000005</v>
      </c>
      <c r="F11" s="335"/>
      <c r="G11" s="335"/>
      <c r="H11" s="335"/>
      <c r="I11" s="335"/>
      <c r="J11" s="335"/>
      <c r="K11" s="335"/>
      <c r="L11" s="335"/>
      <c r="M11" s="335"/>
      <c r="N11" s="335"/>
      <c r="O11" s="340"/>
    </row>
    <row r="12" spans="1:15" x14ac:dyDescent="0.25">
      <c r="A12" s="382">
        <v>30</v>
      </c>
      <c r="B12" s="463" t="str">
        <f>'SU 02003'!B5</f>
        <v>Lower Front A-arm tube (Front)  Carbon Fiber Tube</v>
      </c>
      <c r="C12" s="339">
        <f>'SU 02003'!N2</f>
        <v>11.220746039999998</v>
      </c>
      <c r="D12" s="464">
        <f>SU_02003_q</f>
        <v>1</v>
      </c>
      <c r="E12" s="339">
        <f t="shared" si="0"/>
        <v>11.220746039999998</v>
      </c>
      <c r="F12" s="335"/>
      <c r="G12" s="335"/>
      <c r="H12" s="335"/>
      <c r="I12" s="335"/>
      <c r="J12" s="335"/>
      <c r="K12" s="335"/>
      <c r="L12" s="335"/>
      <c r="M12" s="335"/>
      <c r="N12" s="335"/>
      <c r="O12" s="465"/>
    </row>
    <row r="13" spans="1:15" s="17" customFormat="1" x14ac:dyDescent="0.25">
      <c r="A13" s="382">
        <v>40</v>
      </c>
      <c r="B13" s="463" t="str">
        <f>'SU 02004'!B5</f>
        <v>Lower Front A-arm tube (Back)  Carbon Fiber Tube</v>
      </c>
      <c r="C13" s="339">
        <f>'SU 02004'!N2</f>
        <v>10.001779199999998</v>
      </c>
      <c r="D13" s="382">
        <f>SU_02004_q</f>
        <v>1</v>
      </c>
      <c r="E13" s="339">
        <f t="shared" si="0"/>
        <v>10.001779199999998</v>
      </c>
      <c r="F13" s="335"/>
      <c r="G13" s="335"/>
      <c r="H13" s="335"/>
      <c r="I13" s="335"/>
      <c r="J13" s="335"/>
      <c r="K13" s="335"/>
      <c r="L13" s="335"/>
      <c r="M13" s="335"/>
      <c r="N13" s="335"/>
      <c r="O13" s="465"/>
    </row>
    <row r="14" spans="1:15" s="17" customFormat="1" x14ac:dyDescent="0.25">
      <c r="A14" s="382">
        <v>50</v>
      </c>
      <c r="B14" s="463" t="str">
        <f>'SU 02005'!B5</f>
        <v>Spacer 1</v>
      </c>
      <c r="C14" s="339">
        <f>'SU 02005'!N2</f>
        <v>0.90817037600000006</v>
      </c>
      <c r="D14" s="464">
        <f>SU_02005_q</f>
        <v>2</v>
      </c>
      <c r="E14" s="339">
        <f t="shared" si="0"/>
        <v>1.8163407520000001</v>
      </c>
      <c r="F14" s="335"/>
      <c r="G14" s="335"/>
      <c r="H14" s="335"/>
      <c r="I14" s="335"/>
      <c r="J14" s="335"/>
      <c r="K14" s="335"/>
      <c r="L14" s="335"/>
      <c r="M14" s="335"/>
      <c r="N14" s="335"/>
      <c r="O14" s="340"/>
    </row>
    <row r="15" spans="1:15" s="17" customFormat="1" x14ac:dyDescent="0.25">
      <c r="A15" s="382">
        <v>60</v>
      </c>
      <c r="B15" s="463" t="str">
        <f>'SU 02006'!B5</f>
        <v>Spacer 2</v>
      </c>
      <c r="C15" s="339">
        <f>'SU 02006'!N2</f>
        <v>0.32421353411764708</v>
      </c>
      <c r="D15" s="382">
        <f>SU_02006_q</f>
        <v>4</v>
      </c>
      <c r="E15" s="339">
        <f t="shared" si="0"/>
        <v>1.2968541364705883</v>
      </c>
      <c r="F15" s="335"/>
      <c r="G15" s="335"/>
      <c r="H15" s="335"/>
      <c r="I15" s="335"/>
      <c r="J15" s="335"/>
      <c r="K15" s="335"/>
      <c r="L15" s="335"/>
      <c r="M15" s="335"/>
      <c r="N15" s="335"/>
      <c r="O15" s="340"/>
    </row>
    <row r="16" spans="1:15" s="17" customFormat="1" x14ac:dyDescent="0.25">
      <c r="A16" s="467">
        <v>70</v>
      </c>
      <c r="B16" s="491" t="str">
        <f>'SU 02007'!B5</f>
        <v>Outboard A-arm Insert</v>
      </c>
      <c r="C16" s="470">
        <f>'SU 02007'!N2</f>
        <v>0.47719727680000001</v>
      </c>
      <c r="D16" s="492">
        <f>SU_02007_q</f>
        <v>2</v>
      </c>
      <c r="E16" s="470">
        <f t="shared" si="0"/>
        <v>0.95439455360000003</v>
      </c>
      <c r="F16" s="335"/>
      <c r="G16" s="335"/>
      <c r="H16" s="335"/>
      <c r="I16" s="335"/>
      <c r="J16" s="335"/>
      <c r="K16" s="335"/>
      <c r="L16" s="335"/>
      <c r="M16" s="335"/>
      <c r="N16" s="335"/>
      <c r="O16" s="340"/>
    </row>
    <row r="17" spans="1:15" s="17" customFormat="1" x14ac:dyDescent="0.25">
      <c r="A17" s="476">
        <v>80</v>
      </c>
      <c r="B17" s="554" t="str">
        <f>'SU 02008'!B5</f>
        <v>Front up bracket</v>
      </c>
      <c r="C17" s="482">
        <f>'SU 02008'!N2</f>
        <v>1.3868720000000001</v>
      </c>
      <c r="D17" s="466">
        <f>SU_02008_q</f>
        <v>1</v>
      </c>
      <c r="E17" s="482">
        <f t="shared" si="0"/>
        <v>1.3868720000000001</v>
      </c>
      <c r="F17" s="335"/>
      <c r="G17" s="335"/>
      <c r="H17" s="335"/>
      <c r="I17" s="335"/>
      <c r="J17" s="335"/>
      <c r="K17" s="335"/>
      <c r="L17" s="335"/>
      <c r="M17" s="335"/>
      <c r="N17" s="335"/>
      <c r="O17" s="340"/>
    </row>
    <row r="18" spans="1:15" s="17" customFormat="1" x14ac:dyDescent="0.25">
      <c r="A18" s="476">
        <v>90</v>
      </c>
      <c r="B18" s="554" t="str">
        <f>'SU 02009'!B5</f>
        <v>Front down bracket</v>
      </c>
      <c r="C18" s="482">
        <f>'SU 02009'!N2</f>
        <v>1.4357435000000001</v>
      </c>
      <c r="D18" s="466">
        <f>SU_02009_q</f>
        <v>1</v>
      </c>
      <c r="E18" s="482">
        <f t="shared" si="0"/>
        <v>1.4357435000000001</v>
      </c>
      <c r="F18" s="335"/>
      <c r="G18" s="335"/>
      <c r="H18" s="335"/>
      <c r="I18" s="335"/>
      <c r="J18" s="335"/>
      <c r="K18" s="335"/>
      <c r="L18" s="335"/>
      <c r="M18" s="335"/>
      <c r="N18" s="335"/>
      <c r="O18" s="340"/>
    </row>
    <row r="19" spans="1:15" s="17" customFormat="1" x14ac:dyDescent="0.25">
      <c r="A19" s="476">
        <v>100</v>
      </c>
      <c r="B19" s="554" t="str">
        <f>'SU 02010'!B5</f>
        <v>Rear Up bracket</v>
      </c>
      <c r="C19" s="482">
        <f>'SU 02010'!N2</f>
        <v>1.3315549999999998</v>
      </c>
      <c r="D19" s="466">
        <f>SU_02010_q</f>
        <v>1</v>
      </c>
      <c r="E19" s="482">
        <f t="shared" si="0"/>
        <v>1.3315549999999998</v>
      </c>
      <c r="F19" s="335"/>
      <c r="G19" s="335"/>
      <c r="H19" s="335"/>
      <c r="I19" s="335"/>
      <c r="J19" s="335"/>
      <c r="K19" s="335"/>
      <c r="L19" s="335"/>
      <c r="M19" s="335"/>
      <c r="N19" s="335"/>
      <c r="O19" s="340"/>
    </row>
    <row r="20" spans="1:15" s="17" customFormat="1" x14ac:dyDescent="0.25">
      <c r="A20" s="476">
        <v>110</v>
      </c>
      <c r="B20" s="554" t="str">
        <f>'SU 02011'!B5</f>
        <v>Rear down bracket</v>
      </c>
      <c r="C20" s="482">
        <f>'SU 02011'!N2</f>
        <v>1.41506025</v>
      </c>
      <c r="D20" s="466">
        <f>SU_02011_q</f>
        <v>1</v>
      </c>
      <c r="E20" s="482">
        <f t="shared" si="0"/>
        <v>1.41506025</v>
      </c>
      <c r="F20" s="335"/>
      <c r="G20" s="335"/>
      <c r="H20" s="335"/>
      <c r="I20" s="335"/>
      <c r="J20" s="335"/>
      <c r="K20" s="335"/>
      <c r="L20" s="335"/>
      <c r="M20" s="335"/>
      <c r="N20" s="335"/>
      <c r="O20" s="340"/>
    </row>
    <row r="21" spans="1:15" x14ac:dyDescent="0.25">
      <c r="A21" s="367"/>
      <c r="B21" s="335"/>
      <c r="C21" s="335"/>
      <c r="D21" s="493" t="s">
        <v>18</v>
      </c>
      <c r="E21" s="475">
        <f>SUM(E10:E16)</f>
        <v>38.14987577007058</v>
      </c>
      <c r="F21" s="335"/>
      <c r="G21" s="335"/>
      <c r="H21" s="335"/>
      <c r="I21" s="335"/>
      <c r="J21" s="335"/>
      <c r="K21" s="335"/>
      <c r="L21" s="335"/>
      <c r="M21" s="335"/>
      <c r="N21" s="335"/>
      <c r="O21" s="340"/>
    </row>
    <row r="22" spans="1:15" x14ac:dyDescent="0.25">
      <c r="A22" s="367"/>
      <c r="B22" s="335"/>
      <c r="C22" s="335"/>
      <c r="D22" s="335"/>
      <c r="E22" s="335"/>
      <c r="F22" s="335"/>
      <c r="G22" s="335"/>
      <c r="H22" s="335"/>
      <c r="I22" s="335"/>
      <c r="J22" s="335"/>
      <c r="K22" s="335"/>
      <c r="L22" s="335"/>
      <c r="M22" s="335"/>
      <c r="N22" s="335"/>
      <c r="O22" s="340"/>
    </row>
    <row r="23" spans="1:15" x14ac:dyDescent="0.25">
      <c r="A23" s="473" t="s">
        <v>14</v>
      </c>
      <c r="B23" s="473" t="s">
        <v>19</v>
      </c>
      <c r="C23" s="473" t="s">
        <v>20</v>
      </c>
      <c r="D23" s="473" t="s">
        <v>21</v>
      </c>
      <c r="E23" s="473" t="s">
        <v>22</v>
      </c>
      <c r="F23" s="473" t="s">
        <v>23</v>
      </c>
      <c r="G23" s="473" t="s">
        <v>24</v>
      </c>
      <c r="H23" s="473" t="s">
        <v>25</v>
      </c>
      <c r="I23" s="473" t="s">
        <v>26</v>
      </c>
      <c r="J23" s="473" t="s">
        <v>27</v>
      </c>
      <c r="K23" s="473" t="s">
        <v>28</v>
      </c>
      <c r="L23" s="473" t="s">
        <v>29</v>
      </c>
      <c r="M23" s="473" t="s">
        <v>17</v>
      </c>
      <c r="N23" s="473" t="s">
        <v>18</v>
      </c>
      <c r="O23" s="340"/>
    </row>
    <row r="24" spans="1:15" ht="14.45" customHeight="1" x14ac:dyDescent="0.25">
      <c r="A24" s="476">
        <v>10</v>
      </c>
      <c r="B24" s="476" t="s">
        <v>65</v>
      </c>
      <c r="C24" s="476"/>
      <c r="D24" s="477">
        <f>0.03*E24^2+5</f>
        <v>6.92</v>
      </c>
      <c r="E24" s="476">
        <v>8</v>
      </c>
      <c r="F24" s="476" t="s">
        <v>30</v>
      </c>
      <c r="G24" s="476"/>
      <c r="H24" s="478"/>
      <c r="I24" s="479"/>
      <c r="J24" s="480"/>
      <c r="K24" s="478"/>
      <c r="L24" s="478"/>
      <c r="M24" s="481">
        <v>3</v>
      </c>
      <c r="N24" s="482">
        <f>M24*D24</f>
        <v>20.759999999999998</v>
      </c>
      <c r="O24" s="340"/>
    </row>
    <row r="25" spans="1:15" s="22" customFormat="1" ht="14.45" customHeight="1" x14ac:dyDescent="0.25">
      <c r="A25" s="476">
        <v>20</v>
      </c>
      <c r="B25" s="483" t="s">
        <v>70</v>
      </c>
      <c r="C25" s="484" t="s">
        <v>71</v>
      </c>
      <c r="D25" s="482"/>
      <c r="E25" s="485"/>
      <c r="F25" s="485">
        <v>95</v>
      </c>
      <c r="G25" s="485"/>
      <c r="H25" s="478"/>
      <c r="I25" s="486"/>
      <c r="J25" s="487"/>
      <c r="K25" s="488"/>
      <c r="L25" s="489"/>
      <c r="M25" s="490"/>
      <c r="N25" s="482">
        <f>M25*D25</f>
        <v>0</v>
      </c>
      <c r="O25" s="362"/>
    </row>
    <row r="26" spans="1:15" ht="31.9" customHeight="1" x14ac:dyDescent="0.25">
      <c r="A26" s="476">
        <v>30</v>
      </c>
      <c r="B26" s="483" t="s">
        <v>70</v>
      </c>
      <c r="C26" s="484" t="s">
        <v>72</v>
      </c>
      <c r="D26" s="482"/>
      <c r="E26" s="476"/>
      <c r="F26" s="476"/>
      <c r="G26" s="476"/>
      <c r="H26" s="478"/>
      <c r="I26" s="490"/>
      <c r="J26" s="481"/>
      <c r="K26" s="478"/>
      <c r="L26" s="489"/>
      <c r="M26" s="478"/>
      <c r="N26" s="482">
        <f>M26*D26</f>
        <v>0</v>
      </c>
      <c r="O26" s="340"/>
    </row>
    <row r="27" spans="1:15" x14ac:dyDescent="0.25">
      <c r="A27" s="363"/>
      <c r="B27" s="364"/>
      <c r="C27" s="364"/>
      <c r="D27" s="364"/>
      <c r="E27" s="364"/>
      <c r="F27" s="364"/>
      <c r="G27" s="364"/>
      <c r="H27" s="364"/>
      <c r="I27" s="364"/>
      <c r="J27" s="364"/>
      <c r="K27" s="364"/>
      <c r="L27" s="364"/>
      <c r="M27" s="474" t="s">
        <v>18</v>
      </c>
      <c r="N27" s="475">
        <f>SUM(N24:N26)</f>
        <v>20.759999999999998</v>
      </c>
      <c r="O27" s="340"/>
    </row>
    <row r="28" spans="1:15" x14ac:dyDescent="0.25">
      <c r="A28" s="367"/>
      <c r="B28" s="335"/>
      <c r="C28" s="335"/>
      <c r="D28" s="335"/>
      <c r="E28" s="335"/>
      <c r="F28" s="335"/>
      <c r="G28" s="335"/>
      <c r="H28" s="335"/>
      <c r="I28" s="335"/>
      <c r="J28" s="335"/>
      <c r="K28" s="335"/>
      <c r="L28" s="335"/>
      <c r="M28" s="335"/>
      <c r="N28" s="335"/>
      <c r="O28" s="340"/>
    </row>
    <row r="29" spans="1:15" s="25" customFormat="1" x14ac:dyDescent="0.25">
      <c r="A29" s="460" t="s">
        <v>14</v>
      </c>
      <c r="B29" s="460" t="s">
        <v>31</v>
      </c>
      <c r="C29" s="460" t="s">
        <v>20</v>
      </c>
      <c r="D29" s="460" t="s">
        <v>21</v>
      </c>
      <c r="E29" s="460" t="s">
        <v>32</v>
      </c>
      <c r="F29" s="460" t="s">
        <v>17</v>
      </c>
      <c r="G29" s="460" t="s">
        <v>33</v>
      </c>
      <c r="H29" s="460" t="s">
        <v>34</v>
      </c>
      <c r="I29" s="460" t="s">
        <v>18</v>
      </c>
      <c r="J29" s="364"/>
      <c r="K29" s="364"/>
      <c r="L29" s="364"/>
      <c r="M29" s="364"/>
      <c r="N29" s="364"/>
      <c r="O29" s="371"/>
    </row>
    <row r="30" spans="1:15" s="176" customFormat="1" x14ac:dyDescent="0.25">
      <c r="A30" s="216">
        <v>10</v>
      </c>
      <c r="B30" s="271" t="s">
        <v>76</v>
      </c>
      <c r="C30" s="217" t="s">
        <v>169</v>
      </c>
      <c r="D30" s="268">
        <v>0.02</v>
      </c>
      <c r="E30" s="216" t="s">
        <v>74</v>
      </c>
      <c r="F30" s="227">
        <v>8.66</v>
      </c>
      <c r="G30" s="227" t="s">
        <v>153</v>
      </c>
      <c r="H30" s="227">
        <v>2</v>
      </c>
      <c r="I30" s="268">
        <f t="shared" ref="I30:I51" si="1">IF(H30="",D30*F30,D30*F30*H30)</f>
        <v>0.34639999999999999</v>
      </c>
      <c r="J30" s="218"/>
      <c r="K30" s="218"/>
      <c r="L30" s="218"/>
      <c r="M30" s="218"/>
      <c r="N30" s="218"/>
      <c r="O30" s="219"/>
    </row>
    <row r="31" spans="1:15" s="176" customFormat="1" x14ac:dyDescent="0.25">
      <c r="A31" s="216">
        <v>20</v>
      </c>
      <c r="B31" s="271" t="s">
        <v>73</v>
      </c>
      <c r="C31" s="217" t="s">
        <v>170</v>
      </c>
      <c r="D31" s="268">
        <v>0.02</v>
      </c>
      <c r="E31" s="216" t="s">
        <v>74</v>
      </c>
      <c r="F31" s="227">
        <v>8.66</v>
      </c>
      <c r="G31" s="227" t="s">
        <v>153</v>
      </c>
      <c r="H31" s="227">
        <v>2</v>
      </c>
      <c r="I31" s="268">
        <f t="shared" si="1"/>
        <v>0.34639999999999999</v>
      </c>
      <c r="J31" s="220"/>
      <c r="K31" s="220"/>
      <c r="L31" s="220"/>
      <c r="M31" s="220"/>
      <c r="N31" s="220"/>
      <c r="O31" s="221"/>
    </row>
    <row r="32" spans="1:15" s="176" customFormat="1" x14ac:dyDescent="0.25">
      <c r="A32" s="216">
        <v>30</v>
      </c>
      <c r="B32" s="271" t="s">
        <v>76</v>
      </c>
      <c r="C32" s="217" t="s">
        <v>172</v>
      </c>
      <c r="D32" s="268">
        <v>0.02</v>
      </c>
      <c r="E32" s="216" t="s">
        <v>74</v>
      </c>
      <c r="F32" s="227">
        <v>8.66</v>
      </c>
      <c r="G32" s="227" t="s">
        <v>153</v>
      </c>
      <c r="H32" s="227">
        <v>2</v>
      </c>
      <c r="I32" s="268">
        <f t="shared" si="1"/>
        <v>0.34639999999999999</v>
      </c>
      <c r="J32" s="218"/>
      <c r="K32" s="218"/>
      <c r="L32" s="218"/>
      <c r="M32" s="218"/>
      <c r="N32" s="218"/>
      <c r="O32" s="219"/>
    </row>
    <row r="33" spans="1:15" s="176" customFormat="1" x14ac:dyDescent="0.25">
      <c r="A33" s="216">
        <v>40</v>
      </c>
      <c r="B33" s="271" t="s">
        <v>154</v>
      </c>
      <c r="C33" s="222" t="s">
        <v>174</v>
      </c>
      <c r="D33" s="268">
        <v>0.06</v>
      </c>
      <c r="E33" s="271" t="s">
        <v>32</v>
      </c>
      <c r="F33" s="227">
        <v>1</v>
      </c>
      <c r="G33" s="227" t="s">
        <v>153</v>
      </c>
      <c r="H33" s="227">
        <v>2</v>
      </c>
      <c r="I33" s="268">
        <f t="shared" si="1"/>
        <v>0.12</v>
      </c>
      <c r="J33" s="220"/>
      <c r="K33" s="220"/>
      <c r="L33" s="220"/>
      <c r="M33" s="220"/>
      <c r="N33" s="220"/>
      <c r="O33" s="221"/>
    </row>
    <row r="34" spans="1:15" s="176" customFormat="1" x14ac:dyDescent="0.25">
      <c r="A34" s="216">
        <v>50</v>
      </c>
      <c r="B34" s="271" t="s">
        <v>76</v>
      </c>
      <c r="C34" s="217" t="s">
        <v>175</v>
      </c>
      <c r="D34" s="268">
        <v>0.02</v>
      </c>
      <c r="E34" s="216" t="s">
        <v>74</v>
      </c>
      <c r="F34" s="227">
        <v>12.43</v>
      </c>
      <c r="G34" s="227" t="s">
        <v>153</v>
      </c>
      <c r="H34" s="227">
        <v>2</v>
      </c>
      <c r="I34" s="268">
        <f t="shared" si="1"/>
        <v>0.49719999999999998</v>
      </c>
      <c r="J34" s="218"/>
      <c r="K34" s="218"/>
      <c r="L34" s="218"/>
      <c r="M34" s="218"/>
      <c r="N34" s="218"/>
      <c r="O34" s="219"/>
    </row>
    <row r="35" spans="1:15" s="176" customFormat="1" x14ac:dyDescent="0.25">
      <c r="A35" s="216">
        <v>60</v>
      </c>
      <c r="B35" s="271" t="s">
        <v>73</v>
      </c>
      <c r="C35" s="217" t="s">
        <v>176</v>
      </c>
      <c r="D35" s="268">
        <v>0.02</v>
      </c>
      <c r="E35" s="216" t="s">
        <v>74</v>
      </c>
      <c r="F35" s="227">
        <v>12.43</v>
      </c>
      <c r="G35" s="227" t="s">
        <v>153</v>
      </c>
      <c r="H35" s="227">
        <v>2</v>
      </c>
      <c r="I35" s="268">
        <f t="shared" si="1"/>
        <v>0.49719999999999998</v>
      </c>
      <c r="J35" s="220"/>
      <c r="K35" s="220"/>
      <c r="L35" s="220"/>
      <c r="M35" s="220"/>
      <c r="N35" s="220"/>
      <c r="O35" s="221"/>
    </row>
    <row r="36" spans="1:15" s="176" customFormat="1" x14ac:dyDescent="0.25">
      <c r="A36" s="216">
        <v>70</v>
      </c>
      <c r="B36" s="271" t="s">
        <v>76</v>
      </c>
      <c r="C36" s="217" t="s">
        <v>155</v>
      </c>
      <c r="D36" s="268">
        <v>0.02</v>
      </c>
      <c r="E36" s="216" t="s">
        <v>74</v>
      </c>
      <c r="F36" s="227">
        <v>12.43</v>
      </c>
      <c r="G36" s="227" t="s">
        <v>153</v>
      </c>
      <c r="H36" s="227">
        <v>2</v>
      </c>
      <c r="I36" s="268">
        <f t="shared" si="1"/>
        <v>0.49719999999999998</v>
      </c>
      <c r="J36" s="218"/>
      <c r="K36" s="218"/>
      <c r="L36" s="218"/>
      <c r="M36" s="218"/>
      <c r="N36" s="218"/>
      <c r="O36" s="219"/>
    </row>
    <row r="37" spans="1:15" s="176" customFormat="1" x14ac:dyDescent="0.25">
      <c r="A37" s="216">
        <v>80</v>
      </c>
      <c r="B37" s="271" t="s">
        <v>154</v>
      </c>
      <c r="C37" s="222" t="s">
        <v>177</v>
      </c>
      <c r="D37" s="268">
        <v>0.14000000000000001</v>
      </c>
      <c r="E37" s="271" t="s">
        <v>32</v>
      </c>
      <c r="F37" s="227">
        <v>1</v>
      </c>
      <c r="G37" s="227" t="s">
        <v>153</v>
      </c>
      <c r="H37" s="227">
        <v>2</v>
      </c>
      <c r="I37" s="268">
        <f t="shared" si="1"/>
        <v>0.28000000000000003</v>
      </c>
      <c r="J37" s="223"/>
      <c r="K37" s="223"/>
      <c r="L37" s="223"/>
      <c r="M37" s="223"/>
      <c r="N37" s="223"/>
      <c r="O37" s="224"/>
    </row>
    <row r="38" spans="1:15" s="176" customFormat="1" x14ac:dyDescent="0.25">
      <c r="A38" s="216">
        <v>90</v>
      </c>
      <c r="B38" s="271" t="s">
        <v>76</v>
      </c>
      <c r="C38" s="217" t="s">
        <v>171</v>
      </c>
      <c r="D38" s="268">
        <v>0.02</v>
      </c>
      <c r="E38" s="216" t="s">
        <v>74</v>
      </c>
      <c r="F38" s="227">
        <v>12.43</v>
      </c>
      <c r="G38" s="227" t="s">
        <v>153</v>
      </c>
      <c r="H38" s="227">
        <v>2</v>
      </c>
      <c r="I38" s="268">
        <f t="shared" si="1"/>
        <v>0.49719999999999998</v>
      </c>
      <c r="J38" s="218"/>
      <c r="K38" s="218"/>
      <c r="L38" s="218"/>
      <c r="M38" s="218"/>
      <c r="N38" s="218"/>
      <c r="O38" s="219"/>
    </row>
    <row r="39" spans="1:15" s="176" customFormat="1" x14ac:dyDescent="0.25">
      <c r="A39" s="216">
        <v>100</v>
      </c>
      <c r="B39" s="271" t="s">
        <v>73</v>
      </c>
      <c r="C39" s="217" t="s">
        <v>173</v>
      </c>
      <c r="D39" s="268">
        <v>0.18</v>
      </c>
      <c r="E39" s="216" t="s">
        <v>74</v>
      </c>
      <c r="F39" s="227">
        <v>12.43</v>
      </c>
      <c r="G39" s="227" t="s">
        <v>153</v>
      </c>
      <c r="H39" s="227">
        <v>2</v>
      </c>
      <c r="I39" s="268">
        <f t="shared" si="1"/>
        <v>4.4748000000000001</v>
      </c>
      <c r="J39" s="223"/>
      <c r="K39" s="223"/>
      <c r="L39" s="223"/>
      <c r="M39" s="223"/>
      <c r="N39" s="223"/>
      <c r="O39" s="219"/>
    </row>
    <row r="40" spans="1:15" s="176" customFormat="1" x14ac:dyDescent="0.25">
      <c r="A40" s="216">
        <v>110</v>
      </c>
      <c r="B40" s="271" t="s">
        <v>76</v>
      </c>
      <c r="C40" s="217" t="s">
        <v>155</v>
      </c>
      <c r="D40" s="268">
        <v>0.02</v>
      </c>
      <c r="E40" s="216" t="s">
        <v>74</v>
      </c>
      <c r="F40" s="227">
        <v>12.43</v>
      </c>
      <c r="G40" s="227" t="s">
        <v>153</v>
      </c>
      <c r="H40" s="227">
        <v>2</v>
      </c>
      <c r="I40" s="268">
        <f t="shared" si="1"/>
        <v>0.49719999999999998</v>
      </c>
      <c r="J40" s="218"/>
      <c r="K40" s="218"/>
      <c r="L40" s="218"/>
      <c r="M40" s="218"/>
      <c r="N40" s="218"/>
      <c r="O40" s="219"/>
    </row>
    <row r="41" spans="1:15" s="176" customFormat="1" ht="30" x14ac:dyDescent="0.25">
      <c r="A41" s="216">
        <v>120</v>
      </c>
      <c r="B41" s="271" t="s">
        <v>154</v>
      </c>
      <c r="C41" s="222" t="s">
        <v>178</v>
      </c>
      <c r="D41" s="268">
        <v>0.22</v>
      </c>
      <c r="E41" s="271" t="s">
        <v>32</v>
      </c>
      <c r="F41" s="227">
        <v>1</v>
      </c>
      <c r="G41" s="227" t="s">
        <v>153</v>
      </c>
      <c r="H41" s="227">
        <v>2</v>
      </c>
      <c r="I41" s="268">
        <f t="shared" si="1"/>
        <v>0.44</v>
      </c>
      <c r="J41" s="223"/>
      <c r="K41" s="223"/>
      <c r="L41" s="223"/>
      <c r="M41" s="223"/>
      <c r="N41" s="223"/>
      <c r="O41" s="219"/>
    </row>
    <row r="42" spans="1:15" s="176" customFormat="1" x14ac:dyDescent="0.25">
      <c r="A42" s="216">
        <v>130</v>
      </c>
      <c r="B42" s="271" t="s">
        <v>76</v>
      </c>
      <c r="C42" s="217" t="s">
        <v>156</v>
      </c>
      <c r="D42" s="268">
        <v>0.02</v>
      </c>
      <c r="E42" s="216" t="s">
        <v>74</v>
      </c>
      <c r="F42" s="227">
        <v>4.01</v>
      </c>
      <c r="G42" s="227" t="s">
        <v>157</v>
      </c>
      <c r="H42" s="227">
        <v>3</v>
      </c>
      <c r="I42" s="268">
        <f t="shared" si="1"/>
        <v>0.24059999999999998</v>
      </c>
      <c r="J42" s="218"/>
      <c r="K42" s="218"/>
      <c r="L42" s="218"/>
      <c r="M42" s="218"/>
      <c r="N42" s="218"/>
      <c r="O42" s="219"/>
    </row>
    <row r="43" spans="1:15" s="176" customFormat="1" x14ac:dyDescent="0.25">
      <c r="A43" s="216">
        <v>140</v>
      </c>
      <c r="B43" s="225" t="s">
        <v>73</v>
      </c>
      <c r="C43" s="217" t="s">
        <v>158</v>
      </c>
      <c r="D43" s="268">
        <v>0.02</v>
      </c>
      <c r="E43" s="216" t="s">
        <v>74</v>
      </c>
      <c r="F43" s="227">
        <v>4.01</v>
      </c>
      <c r="G43" s="227" t="s">
        <v>157</v>
      </c>
      <c r="H43" s="227">
        <v>3</v>
      </c>
      <c r="I43" s="268">
        <f t="shared" si="1"/>
        <v>0.24059999999999998</v>
      </c>
      <c r="J43" s="223"/>
      <c r="K43" s="223"/>
      <c r="L43" s="223"/>
      <c r="M43" s="223"/>
      <c r="N43" s="223"/>
      <c r="O43" s="219"/>
    </row>
    <row r="44" spans="1:15" s="176" customFormat="1" x14ac:dyDescent="0.25">
      <c r="A44" s="216">
        <v>150</v>
      </c>
      <c r="B44" s="271" t="s">
        <v>154</v>
      </c>
      <c r="C44" s="217" t="s">
        <v>159</v>
      </c>
      <c r="D44" s="268">
        <v>0.3</v>
      </c>
      <c r="E44" s="271" t="s">
        <v>32</v>
      </c>
      <c r="F44" s="227">
        <v>1</v>
      </c>
      <c r="G44" s="227" t="s">
        <v>157</v>
      </c>
      <c r="H44" s="227">
        <v>3</v>
      </c>
      <c r="I44" s="268">
        <f t="shared" si="1"/>
        <v>0.89999999999999991</v>
      </c>
      <c r="J44" s="223"/>
      <c r="K44" s="223"/>
      <c r="L44" s="223"/>
      <c r="M44" s="223"/>
      <c r="N44" s="223"/>
      <c r="O44" s="219"/>
    </row>
    <row r="45" spans="1:15" s="176" customFormat="1" x14ac:dyDescent="0.25">
      <c r="A45" s="216">
        <v>160</v>
      </c>
      <c r="B45" s="216" t="s">
        <v>160</v>
      </c>
      <c r="C45" s="217" t="s">
        <v>161</v>
      </c>
      <c r="D45" s="268">
        <v>0.15</v>
      </c>
      <c r="E45" s="216" t="s">
        <v>74</v>
      </c>
      <c r="F45" s="227">
        <v>22</v>
      </c>
      <c r="G45" s="227"/>
      <c r="H45" s="211"/>
      <c r="I45" s="268">
        <f t="shared" si="1"/>
        <v>3.3</v>
      </c>
      <c r="J45" s="223"/>
      <c r="K45" s="223"/>
      <c r="L45" s="223"/>
      <c r="M45" s="223"/>
      <c r="N45" s="223"/>
      <c r="O45" s="219"/>
    </row>
    <row r="46" spans="1:15" s="176" customFormat="1" x14ac:dyDescent="0.25">
      <c r="A46" s="216">
        <v>170</v>
      </c>
      <c r="B46" s="271" t="s">
        <v>162</v>
      </c>
      <c r="C46" s="222" t="s">
        <v>163</v>
      </c>
      <c r="D46" s="268">
        <v>5.25</v>
      </c>
      <c r="E46" s="271" t="s">
        <v>77</v>
      </c>
      <c r="F46" s="227">
        <v>0.01</v>
      </c>
      <c r="G46" s="227"/>
      <c r="H46" s="211"/>
      <c r="I46" s="268">
        <f t="shared" si="1"/>
        <v>5.2499999999999998E-2</v>
      </c>
      <c r="J46" s="223"/>
      <c r="K46" s="223"/>
      <c r="L46" s="223"/>
      <c r="M46" s="226"/>
      <c r="N46" s="223"/>
      <c r="O46" s="219"/>
    </row>
    <row r="47" spans="1:15" s="176" customFormat="1" x14ac:dyDescent="0.25">
      <c r="A47" s="216">
        <v>180</v>
      </c>
      <c r="B47" s="216" t="s">
        <v>154</v>
      </c>
      <c r="C47" s="217" t="s">
        <v>164</v>
      </c>
      <c r="D47" s="268">
        <v>0.14000000000000001</v>
      </c>
      <c r="E47" s="216" t="s">
        <v>32</v>
      </c>
      <c r="F47" s="227">
        <v>1</v>
      </c>
      <c r="G47" s="227"/>
      <c r="H47" s="211"/>
      <c r="I47" s="268">
        <f t="shared" si="1"/>
        <v>0.14000000000000001</v>
      </c>
      <c r="J47" s="223"/>
      <c r="K47" s="223"/>
      <c r="L47" s="223"/>
      <c r="M47" s="223"/>
      <c r="N47" s="223"/>
      <c r="O47" s="219"/>
    </row>
    <row r="48" spans="1:15" s="176" customFormat="1" x14ac:dyDescent="0.25">
      <c r="A48" s="216">
        <v>190</v>
      </c>
      <c r="B48" s="271" t="s">
        <v>75</v>
      </c>
      <c r="C48" s="222" t="s">
        <v>165</v>
      </c>
      <c r="D48" s="268">
        <v>0.13</v>
      </c>
      <c r="E48" s="271" t="s">
        <v>32</v>
      </c>
      <c r="F48" s="227">
        <v>4</v>
      </c>
      <c r="G48" s="227"/>
      <c r="H48" s="211"/>
      <c r="I48" s="268">
        <f t="shared" si="1"/>
        <v>0.52</v>
      </c>
      <c r="J48" s="223"/>
      <c r="K48" s="223"/>
      <c r="L48" s="223"/>
      <c r="M48" s="223"/>
      <c r="N48" s="223"/>
      <c r="O48" s="219"/>
    </row>
    <row r="49" spans="1:15" s="176" customFormat="1" x14ac:dyDescent="0.25">
      <c r="A49" s="216">
        <v>200</v>
      </c>
      <c r="B49" s="271" t="s">
        <v>75</v>
      </c>
      <c r="C49" s="222" t="s">
        <v>166</v>
      </c>
      <c r="D49" s="268">
        <v>0.13</v>
      </c>
      <c r="E49" s="271" t="s">
        <v>32</v>
      </c>
      <c r="F49" s="227">
        <v>8</v>
      </c>
      <c r="G49" s="227"/>
      <c r="H49" s="211"/>
      <c r="I49" s="268">
        <f t="shared" si="1"/>
        <v>1.04</v>
      </c>
      <c r="J49" s="223"/>
      <c r="K49" s="223"/>
      <c r="L49" s="223"/>
      <c r="M49" s="223"/>
      <c r="N49" s="223"/>
      <c r="O49" s="219"/>
    </row>
    <row r="50" spans="1:15" s="176" customFormat="1" x14ac:dyDescent="0.25">
      <c r="A50" s="216">
        <v>210</v>
      </c>
      <c r="B50" s="216" t="s">
        <v>78</v>
      </c>
      <c r="C50" s="217" t="s">
        <v>167</v>
      </c>
      <c r="D50" s="268">
        <v>0.13</v>
      </c>
      <c r="E50" s="216" t="s">
        <v>32</v>
      </c>
      <c r="F50" s="227">
        <v>2</v>
      </c>
      <c r="G50" s="227"/>
      <c r="H50" s="211"/>
      <c r="I50" s="268">
        <f t="shared" si="1"/>
        <v>0.26</v>
      </c>
      <c r="J50" s="223"/>
      <c r="K50" s="223"/>
      <c r="L50" s="223"/>
      <c r="M50" s="223"/>
      <c r="N50" s="223"/>
      <c r="O50" s="219"/>
    </row>
    <row r="51" spans="1:15" s="176" customFormat="1" x14ac:dyDescent="0.25">
      <c r="A51" s="216">
        <v>220</v>
      </c>
      <c r="B51" s="271" t="s">
        <v>79</v>
      </c>
      <c r="C51" s="222" t="s">
        <v>168</v>
      </c>
      <c r="D51" s="268">
        <v>0.25</v>
      </c>
      <c r="E51" s="271" t="s">
        <v>32</v>
      </c>
      <c r="F51" s="227">
        <v>2</v>
      </c>
      <c r="G51" s="227"/>
      <c r="H51" s="211"/>
      <c r="I51" s="268">
        <f t="shared" si="1"/>
        <v>0.5</v>
      </c>
      <c r="J51" s="223"/>
      <c r="K51" s="223"/>
      <c r="L51" s="223"/>
      <c r="M51" s="223"/>
      <c r="N51" s="223"/>
      <c r="O51" s="224"/>
    </row>
    <row r="52" spans="1:15" x14ac:dyDescent="0.25">
      <c r="A52" s="363"/>
      <c r="B52" s="364"/>
      <c r="C52" s="364"/>
      <c r="D52" s="364"/>
      <c r="E52" s="364"/>
      <c r="F52" s="364"/>
      <c r="G52" s="364"/>
      <c r="H52" s="468" t="s">
        <v>18</v>
      </c>
      <c r="I52" s="469">
        <f>SUM(I30:I51)</f>
        <v>16.033700000000003</v>
      </c>
      <c r="J52" s="335"/>
      <c r="K52" s="335"/>
      <c r="L52" s="335"/>
      <c r="M52" s="335"/>
      <c r="N52" s="335"/>
      <c r="O52" s="340"/>
    </row>
    <row r="53" spans="1:15" x14ac:dyDescent="0.25">
      <c r="A53" s="367"/>
      <c r="B53" s="335"/>
      <c r="C53" s="335"/>
      <c r="D53" s="335"/>
      <c r="E53" s="335"/>
      <c r="F53" s="335"/>
      <c r="G53" s="335"/>
      <c r="H53" s="335"/>
      <c r="I53" s="335"/>
      <c r="J53" s="335"/>
      <c r="K53" s="335"/>
      <c r="L53" s="335"/>
      <c r="M53" s="335"/>
      <c r="N53" s="335"/>
      <c r="O53" s="340"/>
    </row>
    <row r="54" spans="1:15" x14ac:dyDescent="0.25">
      <c r="A54" s="460" t="s">
        <v>14</v>
      </c>
      <c r="B54" s="460" t="s">
        <v>36</v>
      </c>
      <c r="C54" s="460" t="s">
        <v>20</v>
      </c>
      <c r="D54" s="460" t="s">
        <v>21</v>
      </c>
      <c r="E54" s="460" t="s">
        <v>22</v>
      </c>
      <c r="F54" s="460" t="s">
        <v>23</v>
      </c>
      <c r="G54" s="460" t="s">
        <v>24</v>
      </c>
      <c r="H54" s="460" t="s">
        <v>25</v>
      </c>
      <c r="I54" s="460" t="s">
        <v>17</v>
      </c>
      <c r="J54" s="460" t="s">
        <v>18</v>
      </c>
      <c r="K54" s="335"/>
      <c r="L54" s="335"/>
      <c r="M54" s="335"/>
      <c r="N54" s="335"/>
      <c r="O54" s="340"/>
    </row>
    <row r="55" spans="1:15" x14ac:dyDescent="0.25">
      <c r="A55" s="382">
        <v>10</v>
      </c>
      <c r="B55" s="471" t="s">
        <v>222</v>
      </c>
      <c r="C55" s="382" t="s">
        <v>81</v>
      </c>
      <c r="D55" s="339">
        <f>0.8/105154*E55^2*G55*SQRT(G55)+(0.003*EXP(0.319*E55))</f>
        <v>0.16167651505774214</v>
      </c>
      <c r="E55" s="472">
        <v>8</v>
      </c>
      <c r="F55" s="471" t="s">
        <v>30</v>
      </c>
      <c r="G55" s="472">
        <v>40</v>
      </c>
      <c r="H55" s="471" t="s">
        <v>30</v>
      </c>
      <c r="I55" s="472">
        <v>2</v>
      </c>
      <c r="J55" s="339">
        <f>D55*I55</f>
        <v>0.32335303011548427</v>
      </c>
      <c r="K55" s="335"/>
      <c r="L55" s="335"/>
      <c r="M55" s="335"/>
      <c r="N55" s="335"/>
      <c r="O55" s="340"/>
    </row>
    <row r="56" spans="1:15" x14ac:dyDescent="0.25">
      <c r="A56" s="382">
        <v>20</v>
      </c>
      <c r="B56" s="471" t="s">
        <v>223</v>
      </c>
      <c r="C56" s="382" t="s">
        <v>83</v>
      </c>
      <c r="D56" s="339">
        <f>(0.009*EXP(0.2*E56))</f>
        <v>4.4577291819556032E-2</v>
      </c>
      <c r="E56" s="472">
        <v>8</v>
      </c>
      <c r="F56" s="471" t="s">
        <v>30</v>
      </c>
      <c r="G56" s="472"/>
      <c r="H56" s="471"/>
      <c r="I56" s="472">
        <v>2</v>
      </c>
      <c r="J56" s="339">
        <f>D56*I56</f>
        <v>8.9154583639112064E-2</v>
      </c>
      <c r="K56" s="335"/>
      <c r="L56" s="335"/>
      <c r="M56" s="335"/>
      <c r="N56" s="335"/>
      <c r="O56" s="340"/>
    </row>
    <row r="57" spans="1:15" x14ac:dyDescent="0.25">
      <c r="A57" s="382">
        <v>30</v>
      </c>
      <c r="B57" s="471" t="s">
        <v>224</v>
      </c>
      <c r="C57" s="382" t="s">
        <v>85</v>
      </c>
      <c r="D57" s="339">
        <v>0.01</v>
      </c>
      <c r="E57" s="472">
        <v>8</v>
      </c>
      <c r="F57" s="471" t="s">
        <v>30</v>
      </c>
      <c r="G57" s="472"/>
      <c r="H57" s="471"/>
      <c r="I57" s="472">
        <v>4</v>
      </c>
      <c r="J57" s="339">
        <f>D57*I57</f>
        <v>0.04</v>
      </c>
      <c r="K57" s="370"/>
      <c r="L57" s="370"/>
      <c r="M57" s="370"/>
      <c r="N57" s="370"/>
      <c r="O57" s="340"/>
    </row>
    <row r="58" spans="1:15" x14ac:dyDescent="0.25">
      <c r="A58" s="363"/>
      <c r="B58" s="364"/>
      <c r="C58" s="364"/>
      <c r="D58" s="364"/>
      <c r="E58" s="364"/>
      <c r="F58" s="364"/>
      <c r="G58" s="364"/>
      <c r="H58" s="364"/>
      <c r="I58" s="468" t="s">
        <v>18</v>
      </c>
      <c r="J58" s="469">
        <f>SUM(J55:J57)</f>
        <v>0.45250761375459631</v>
      </c>
      <c r="K58" s="335"/>
      <c r="L58" s="335"/>
      <c r="M58" s="335"/>
      <c r="N58" s="335"/>
      <c r="O58" s="340"/>
    </row>
    <row r="59" spans="1:15" x14ac:dyDescent="0.25">
      <c r="A59" s="367"/>
      <c r="B59" s="335"/>
      <c r="C59" s="335"/>
      <c r="D59" s="335"/>
      <c r="E59" s="335"/>
      <c r="F59" s="335"/>
      <c r="G59" s="335"/>
      <c r="H59" s="335"/>
      <c r="I59" s="335"/>
      <c r="J59" s="335"/>
      <c r="K59" s="335"/>
      <c r="L59" s="335"/>
      <c r="M59" s="335"/>
      <c r="N59" s="335"/>
      <c r="O59" s="340"/>
    </row>
    <row r="60" spans="1:15" s="176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18"/>
      <c r="K60" s="220"/>
      <c r="L60" s="220"/>
      <c r="M60" s="220"/>
      <c r="N60" s="220"/>
      <c r="O60" s="221"/>
    </row>
    <row r="61" spans="1:15" s="176" customFormat="1" x14ac:dyDescent="0.25">
      <c r="A61" s="216">
        <v>10</v>
      </c>
      <c r="B61" s="216" t="s">
        <v>182</v>
      </c>
      <c r="C61" s="216" t="s">
        <v>183</v>
      </c>
      <c r="D61" s="267">
        <v>500</v>
      </c>
      <c r="E61" s="216" t="s">
        <v>184</v>
      </c>
      <c r="F61" s="216">
        <f>8</f>
        <v>8</v>
      </c>
      <c r="G61" s="216">
        <v>3000</v>
      </c>
      <c r="H61" s="216">
        <v>1</v>
      </c>
      <c r="I61" s="269">
        <f>D61*F61/G61*H61</f>
        <v>1.3333333333333333</v>
      </c>
      <c r="J61" s="218"/>
      <c r="K61" s="220"/>
      <c r="L61" s="220"/>
      <c r="M61" s="220"/>
      <c r="N61" s="220"/>
      <c r="O61" s="221"/>
    </row>
    <row r="62" spans="1:15" s="176" customFormat="1" x14ac:dyDescent="0.25">
      <c r="A62" s="239"/>
      <c r="B62" s="218"/>
      <c r="C62" s="218"/>
      <c r="D62" s="218"/>
      <c r="E62" s="218"/>
      <c r="F62" s="218"/>
      <c r="G62" s="218"/>
      <c r="H62" s="241" t="s">
        <v>18</v>
      </c>
      <c r="I62" s="240">
        <f>SUM(I61:I61)</f>
        <v>1.3333333333333333</v>
      </c>
      <c r="J62" s="218"/>
      <c r="K62" s="220"/>
      <c r="L62" s="220"/>
      <c r="M62" s="220"/>
      <c r="N62" s="220"/>
      <c r="O62" s="221"/>
    </row>
    <row r="63" spans="1:15" ht="15.75" thickBot="1" x14ac:dyDescent="0.3">
      <c r="A63" s="373"/>
      <c r="B63" s="374"/>
      <c r="C63" s="374"/>
      <c r="D63" s="374"/>
      <c r="E63" s="374"/>
      <c r="F63" s="374"/>
      <c r="G63" s="374"/>
      <c r="H63" s="374"/>
      <c r="I63" s="374"/>
      <c r="J63" s="374"/>
      <c r="K63" s="374"/>
      <c r="L63" s="374"/>
      <c r="M63" s="374"/>
      <c r="N63" s="374"/>
      <c r="O63" s="375"/>
    </row>
    <row r="64" spans="1:15" x14ac:dyDescent="0.25">
      <c r="A64" s="56"/>
      <c r="B64" s="56"/>
      <c r="C64" s="56"/>
      <c r="D64" s="56"/>
      <c r="E64" s="56"/>
      <c r="F64" s="56"/>
      <c r="G64" s="56"/>
      <c r="H64" s="56"/>
      <c r="I64" s="56"/>
      <c r="J64" s="56"/>
      <c r="K64" s="56"/>
      <c r="L64" s="56"/>
      <c r="M64" s="56"/>
      <c r="N64" s="56"/>
    </row>
  </sheetData>
  <hyperlinks>
    <hyperlink ref="E2" location="SU_A0200_BOM" display="Back to BOM" xr:uid="{00000000-0004-0000-1600-000000000000}"/>
    <hyperlink ref="B15" location="SU_02006" display="SU_02006" xr:uid="{00000000-0004-0000-1600-000001000000}"/>
    <hyperlink ref="B13" location="SU_02004" display="SU_02004" xr:uid="{00000000-0004-0000-1600-000002000000}"/>
    <hyperlink ref="B12" location="SU_02003" display="SU_02003" xr:uid="{00000000-0004-0000-1600-000003000000}"/>
    <hyperlink ref="B11" location="SU_02002" display="SU_02002" xr:uid="{00000000-0004-0000-1600-000004000000}"/>
    <hyperlink ref="B16" location="SU_02007" display="SU_02007" xr:uid="{00000000-0004-0000-1600-000005000000}"/>
    <hyperlink ref="B14" location="SU_02005" display="SU_02005" xr:uid="{00000000-0004-0000-1600-000006000000}"/>
    <hyperlink ref="B11:B13" location="BR_01001" display="BR_01001" xr:uid="{00000000-0004-0000-1600-000007000000}"/>
    <hyperlink ref="B10" location="SU_02001" display="SU_02001" xr:uid="{00000000-0004-0000-1600-000008000000}"/>
    <hyperlink ref="B17" location="SU_02008" display="SU_02008" xr:uid="{00000000-0004-0000-1600-000009000000}"/>
    <hyperlink ref="B18" location="SU_02009" display="SU_02009" xr:uid="{00000000-0004-0000-1600-00000A000000}"/>
    <hyperlink ref="B19" location="SU_02010" display="SU_02010" xr:uid="{00000000-0004-0000-1600-00000B000000}"/>
    <hyperlink ref="B20" location="SU_02011" display="SU_02011" xr:uid="{00000000-0004-0000-16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FFFF66"/>
    <pageSetUpPr fitToPage="1"/>
  </sheetPr>
  <dimension ref="A1:S24"/>
  <sheetViews>
    <sheetView topLeftCell="A13" zoomScale="106" zoomScaleNormal="106" zoomScalePageLayoutView="70" workbookViewId="0">
      <selection activeCell="C11" sqref="C11"/>
    </sheetView>
  </sheetViews>
  <sheetFormatPr baseColWidth="10" defaultColWidth="9.140625" defaultRowHeight="15" x14ac:dyDescent="0.25"/>
  <cols>
    <col min="2" max="2" width="26" customWidth="1"/>
    <col min="3" max="3" width="27.140625" customWidth="1"/>
    <col min="5" max="5" width="7" customWidth="1"/>
    <col min="7" max="7" width="11.42578125" customWidth="1"/>
    <col min="9" max="9" width="13" customWidth="1"/>
    <col min="10" max="10" width="12.5703125" customWidth="1"/>
    <col min="15" max="15" width="3.140625" customWidth="1"/>
    <col min="18" max="19" width="16.2851562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SU_02001_m+SU_02001_p</f>
        <v>9.1140000000000008</v>
      </c>
      <c r="O2" s="62"/>
    </row>
    <row r="3" spans="1:19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25">
      <c r="A4" s="99" t="s">
        <v>5</v>
      </c>
      <c r="B4" s="88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18" t="s">
        <v>107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9.1140000000000008</v>
      </c>
      <c r="O5" s="62"/>
    </row>
    <row r="6" spans="1:19" x14ac:dyDescent="0.25">
      <c r="A6" s="99" t="s">
        <v>7</v>
      </c>
      <c r="B6" s="28" t="s">
        <v>115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ht="17.45" customHeight="1" x14ac:dyDescent="0.25">
      <c r="A11" s="494">
        <v>10</v>
      </c>
      <c r="B11" s="495" t="s">
        <v>200</v>
      </c>
      <c r="C11" s="494" t="s">
        <v>225</v>
      </c>
      <c r="D11" s="496">
        <v>4.2</v>
      </c>
      <c r="E11" s="497"/>
      <c r="F11" s="494"/>
      <c r="G11" s="494"/>
      <c r="H11" s="498"/>
      <c r="I11" s="307" t="s">
        <v>227</v>
      </c>
      <c r="J11" s="242">
        <f>64*56/1000000</f>
        <v>3.5839999999999999E-3</v>
      </c>
      <c r="K11" s="242">
        <v>1.6E-2</v>
      </c>
      <c r="L11" s="79">
        <v>2712</v>
      </c>
      <c r="M11" s="139">
        <v>1</v>
      </c>
      <c r="N11" s="30">
        <f>D11*M11</f>
        <v>4.2</v>
      </c>
      <c r="O11" s="66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4.2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507" customFormat="1" ht="30" x14ac:dyDescent="0.25">
      <c r="A15" s="499">
        <v>10</v>
      </c>
      <c r="B15" s="319" t="s">
        <v>39</v>
      </c>
      <c r="C15" s="500"/>
      <c r="D15" s="501">
        <v>1.3</v>
      </c>
      <c r="E15" s="319" t="s">
        <v>32</v>
      </c>
      <c r="F15" s="500">
        <v>1</v>
      </c>
      <c r="G15" s="500"/>
      <c r="H15" s="500"/>
      <c r="I15" s="502">
        <f t="shared" ref="I15:I22" si="0">IF(H15="",D15*F15,D15*F15*H15)</f>
        <v>1.3</v>
      </c>
      <c r="J15" s="505"/>
      <c r="K15" s="505"/>
      <c r="L15" s="505"/>
      <c r="M15" s="505"/>
      <c r="N15" s="505"/>
      <c r="O15" s="506"/>
    </row>
    <row r="16" spans="1:19" s="507" customFormat="1" ht="28.9" customHeight="1" x14ac:dyDescent="0.25">
      <c r="A16" s="305">
        <v>20</v>
      </c>
      <c r="B16" s="319" t="s">
        <v>92</v>
      </c>
      <c r="C16" s="503" t="s">
        <v>228</v>
      </c>
      <c r="D16" s="288">
        <v>0.04</v>
      </c>
      <c r="E16" s="305" t="s">
        <v>93</v>
      </c>
      <c r="F16" s="277">
        <v>30</v>
      </c>
      <c r="G16" s="319" t="s">
        <v>193</v>
      </c>
      <c r="H16" s="504">
        <v>1</v>
      </c>
      <c r="I16" s="289">
        <f t="shared" si="0"/>
        <v>1.2</v>
      </c>
      <c r="J16" s="508"/>
      <c r="K16" s="508"/>
      <c r="L16" s="508"/>
      <c r="M16" s="508"/>
      <c r="N16" s="508"/>
      <c r="O16" s="509"/>
    </row>
    <row r="17" spans="1:15" s="507" customFormat="1" ht="16.149999999999999" customHeight="1" x14ac:dyDescent="0.25">
      <c r="A17" s="499">
        <v>30</v>
      </c>
      <c r="B17" s="319" t="s">
        <v>91</v>
      </c>
      <c r="C17" s="500"/>
      <c r="D17" s="501">
        <v>0.65</v>
      </c>
      <c r="E17" s="319" t="s">
        <v>32</v>
      </c>
      <c r="F17" s="500">
        <v>1</v>
      </c>
      <c r="G17" s="500"/>
      <c r="H17" s="500"/>
      <c r="I17" s="502">
        <f t="shared" si="0"/>
        <v>0.65</v>
      </c>
      <c r="J17" s="510"/>
      <c r="K17" s="510"/>
      <c r="L17" s="510"/>
      <c r="M17" s="510"/>
      <c r="N17" s="510"/>
      <c r="O17" s="511"/>
    </row>
    <row r="18" spans="1:15" s="507" customFormat="1" ht="32.450000000000003" customHeight="1" x14ac:dyDescent="0.25">
      <c r="A18" s="305">
        <v>40</v>
      </c>
      <c r="B18" s="319" t="s">
        <v>92</v>
      </c>
      <c r="C18" s="503" t="s">
        <v>186</v>
      </c>
      <c r="D18" s="288">
        <v>0.04</v>
      </c>
      <c r="E18" s="305" t="s">
        <v>93</v>
      </c>
      <c r="F18" s="277">
        <v>2.2999999999999998</v>
      </c>
      <c r="G18" s="319" t="s">
        <v>193</v>
      </c>
      <c r="H18" s="504">
        <v>1</v>
      </c>
      <c r="I18" s="289">
        <f t="shared" si="0"/>
        <v>9.1999999999999998E-2</v>
      </c>
      <c r="J18" s="508"/>
      <c r="K18" s="508"/>
      <c r="L18" s="508"/>
      <c r="M18" s="508"/>
      <c r="N18" s="508"/>
      <c r="O18" s="509"/>
    </row>
    <row r="19" spans="1:15" s="507" customFormat="1" ht="15.6" customHeight="1" x14ac:dyDescent="0.25">
      <c r="A19" s="499">
        <v>50</v>
      </c>
      <c r="B19" s="319" t="s">
        <v>91</v>
      </c>
      <c r="C19" s="500"/>
      <c r="D19" s="501">
        <v>0.65</v>
      </c>
      <c r="E19" s="319" t="s">
        <v>32</v>
      </c>
      <c r="F19" s="500">
        <v>1</v>
      </c>
      <c r="G19" s="500"/>
      <c r="H19" s="500"/>
      <c r="I19" s="502">
        <f t="shared" si="0"/>
        <v>0.65</v>
      </c>
      <c r="J19" s="508"/>
      <c r="K19" s="508"/>
      <c r="L19" s="508"/>
      <c r="M19" s="508"/>
      <c r="N19" s="508"/>
      <c r="O19" s="509"/>
    </row>
    <row r="20" spans="1:15" s="507" customFormat="1" ht="28.15" customHeight="1" x14ac:dyDescent="0.25">
      <c r="A20" s="305">
        <v>60</v>
      </c>
      <c r="B20" s="319" t="s">
        <v>92</v>
      </c>
      <c r="C20" s="503" t="s">
        <v>187</v>
      </c>
      <c r="D20" s="288">
        <v>0.04</v>
      </c>
      <c r="E20" s="305" t="s">
        <v>93</v>
      </c>
      <c r="F20" s="277">
        <v>2.2999999999999998</v>
      </c>
      <c r="G20" s="319" t="s">
        <v>193</v>
      </c>
      <c r="H20" s="504">
        <v>1</v>
      </c>
      <c r="I20" s="289">
        <f t="shared" si="0"/>
        <v>9.1999999999999998E-2</v>
      </c>
      <c r="J20" s="508"/>
      <c r="K20" s="508"/>
      <c r="L20" s="508"/>
      <c r="M20" s="508"/>
      <c r="N20" s="508"/>
      <c r="O20" s="509"/>
    </row>
    <row r="21" spans="1:15" s="507" customFormat="1" ht="18" customHeight="1" x14ac:dyDescent="0.25">
      <c r="A21" s="499">
        <v>70</v>
      </c>
      <c r="B21" s="319" t="s">
        <v>91</v>
      </c>
      <c r="C21" s="500"/>
      <c r="D21" s="501">
        <v>0.65</v>
      </c>
      <c r="E21" s="319" t="s">
        <v>32</v>
      </c>
      <c r="F21" s="500">
        <v>1</v>
      </c>
      <c r="G21" s="500"/>
      <c r="H21" s="500"/>
      <c r="I21" s="502">
        <f t="shared" si="0"/>
        <v>0.65</v>
      </c>
      <c r="J21" s="512"/>
      <c r="K21" s="512"/>
      <c r="L21" s="512"/>
      <c r="M21" s="512"/>
      <c r="N21" s="512"/>
      <c r="O21" s="509"/>
    </row>
    <row r="22" spans="1:15" s="507" customFormat="1" ht="27.6" customHeight="1" x14ac:dyDescent="0.25">
      <c r="A22" s="305">
        <v>80</v>
      </c>
      <c r="B22" s="319" t="s">
        <v>92</v>
      </c>
      <c r="C22" s="503" t="s">
        <v>226</v>
      </c>
      <c r="D22" s="288">
        <v>0.04</v>
      </c>
      <c r="E22" s="305" t="s">
        <v>93</v>
      </c>
      <c r="F22" s="277">
        <v>7</v>
      </c>
      <c r="G22" s="319" t="s">
        <v>193</v>
      </c>
      <c r="H22" s="504">
        <v>1</v>
      </c>
      <c r="I22" s="289">
        <f t="shared" si="0"/>
        <v>0.28000000000000003</v>
      </c>
      <c r="J22" s="513"/>
      <c r="K22" s="508"/>
      <c r="L22" s="508"/>
      <c r="M22" s="508"/>
      <c r="N22" s="508"/>
      <c r="O22" s="509"/>
    </row>
    <row r="23" spans="1:15" x14ac:dyDescent="0.25">
      <c r="A23" s="67"/>
      <c r="B23" s="24"/>
      <c r="C23" s="24"/>
      <c r="D23" s="24"/>
      <c r="E23" s="24"/>
      <c r="F23" s="24"/>
      <c r="G23" s="24"/>
      <c r="H23" s="108" t="s">
        <v>18</v>
      </c>
      <c r="I23" s="106">
        <f>SUM(I15:I22)</f>
        <v>4.9140000000000006</v>
      </c>
      <c r="J23" s="24"/>
      <c r="K23" s="24"/>
      <c r="L23" s="24"/>
      <c r="M23" s="24"/>
      <c r="N23" s="24"/>
      <c r="O23" s="62"/>
    </row>
    <row r="24" spans="1:15" ht="15.75" thickBot="1" x14ac:dyDescent="0.3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 xr:uid="{00000000-0004-0000-1700-000000000000}"/>
    <hyperlink ref="B4" location="SU_A0200" display="Lower Front A-arm" xr:uid="{00000000-0004-0000-1700-000001000000}"/>
    <hyperlink ref="G2" location="SU_A0200_BOM" display="Back to BOM" xr:uid="{00000000-0004-0000-1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99</v>
      </c>
      <c r="B1" s="88" t="str">
        <f>SU_01001</f>
        <v>SU_01001</v>
      </c>
    </row>
  </sheetData>
  <hyperlinks>
    <hyperlink ref="B1" location="SU_02001" display="SU_02001" xr:uid="{00000000-0004-0000-1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tabColor rgb="FFFFFF66"/>
    <pageSetUpPr fitToPage="1"/>
  </sheetPr>
  <dimension ref="A1:S22"/>
  <sheetViews>
    <sheetView zoomScale="70" zoomScaleNormal="70" zoomScalePageLayoutView="70" workbookViewId="0">
      <selection activeCell="G17" sqref="G17"/>
    </sheetView>
  </sheetViews>
  <sheetFormatPr baseColWidth="10" defaultRowHeight="15" x14ac:dyDescent="0.25"/>
  <cols>
    <col min="1" max="1" width="11.42578125" style="22"/>
    <col min="2" max="2" width="34.7109375" style="22" customWidth="1"/>
    <col min="3" max="3" width="19.85546875" style="22" customWidth="1"/>
    <col min="4" max="6" width="11.42578125" style="22"/>
    <col min="7" max="7" width="25.7109375" style="22" customWidth="1"/>
    <col min="8" max="8" width="11.42578125" style="22"/>
    <col min="9" max="9" width="21.42578125" style="22" customWidth="1"/>
    <col min="10" max="17" width="11.42578125" style="22"/>
    <col min="18" max="18" width="13.85546875" style="22" bestFit="1" customWidth="1"/>
    <col min="19" max="16384" width="11.42578125" style="22"/>
  </cols>
  <sheetData>
    <row r="1" spans="1:19" x14ac:dyDescent="0.25">
      <c r="A1" s="1171"/>
      <c r="B1" s="1172"/>
      <c r="C1" s="1172"/>
      <c r="D1" s="1172"/>
      <c r="E1" s="1172"/>
      <c r="F1" s="1172"/>
      <c r="G1" s="1172"/>
      <c r="H1" s="1172"/>
      <c r="I1" s="1172"/>
      <c r="J1" s="1172"/>
      <c r="K1" s="1172"/>
      <c r="L1" s="1172"/>
      <c r="M1" s="1172"/>
      <c r="N1" s="1172"/>
      <c r="O1" s="1173"/>
    </row>
    <row r="2" spans="1:19" x14ac:dyDescent="0.25">
      <c r="A2" s="989" t="s">
        <v>0</v>
      </c>
      <c r="B2" s="1174" t="s">
        <v>37</v>
      </c>
      <c r="C2" s="1175"/>
      <c r="D2" s="1175"/>
      <c r="E2" s="1175"/>
      <c r="F2" s="1175"/>
      <c r="G2" s="1176" t="s">
        <v>62</v>
      </c>
      <c r="H2" s="1175"/>
      <c r="I2" s="1175"/>
      <c r="J2" s="100" t="s">
        <v>1</v>
      </c>
      <c r="K2" s="83">
        <v>81</v>
      </c>
      <c r="L2" s="1175"/>
      <c r="M2" s="989" t="s">
        <v>16</v>
      </c>
      <c r="N2" s="74">
        <f>N12+I21</f>
        <v>1.8728805440000003</v>
      </c>
      <c r="O2" s="66"/>
    </row>
    <row r="3" spans="1:19" x14ac:dyDescent="0.25">
      <c r="A3" s="989" t="s">
        <v>3</v>
      </c>
      <c r="B3" s="1174" t="str">
        <f>'SU A0200'!B3</f>
        <v>Suspension &amp; Shocks</v>
      </c>
      <c r="C3" s="1175"/>
      <c r="D3" s="989" t="s">
        <v>6</v>
      </c>
      <c r="E3" s="1177" t="s">
        <v>60</v>
      </c>
      <c r="F3" s="1175"/>
      <c r="G3" s="1175"/>
      <c r="H3" s="1175"/>
      <c r="I3" s="1175"/>
      <c r="J3" s="1175"/>
      <c r="K3" s="1175"/>
      <c r="L3" s="1175"/>
      <c r="M3" s="989" t="s">
        <v>4</v>
      </c>
      <c r="N3" s="82">
        <v>2</v>
      </c>
      <c r="O3" s="66"/>
    </row>
    <row r="4" spans="1:19" x14ac:dyDescent="0.25">
      <c r="A4" s="989" t="s">
        <v>5</v>
      </c>
      <c r="B4" s="1176" t="s">
        <v>105</v>
      </c>
      <c r="C4" s="1175"/>
      <c r="D4" s="989" t="s">
        <v>8</v>
      </c>
      <c r="E4" s="1175"/>
      <c r="F4" s="1175"/>
      <c r="G4" s="1175"/>
      <c r="H4" s="1175"/>
      <c r="I4" s="1175"/>
      <c r="J4" s="991" t="s">
        <v>6</v>
      </c>
      <c r="K4" s="1175"/>
      <c r="L4" s="1175"/>
      <c r="M4" s="1175"/>
      <c r="N4" s="1175"/>
      <c r="O4" s="66"/>
    </row>
    <row r="5" spans="1:19" x14ac:dyDescent="0.25">
      <c r="A5" s="989" t="s">
        <v>15</v>
      </c>
      <c r="B5" s="73" t="s">
        <v>90</v>
      </c>
      <c r="C5" s="1175"/>
      <c r="D5" s="989" t="s">
        <v>12</v>
      </c>
      <c r="E5" s="1175"/>
      <c r="F5" s="1175"/>
      <c r="G5" s="1175"/>
      <c r="H5" s="1175"/>
      <c r="I5" s="1175"/>
      <c r="J5" s="991" t="s">
        <v>8</v>
      </c>
      <c r="K5" s="1175"/>
      <c r="L5" s="1175"/>
      <c r="M5" s="989" t="s">
        <v>9</v>
      </c>
      <c r="N5" s="74">
        <f>N3*N2</f>
        <v>3.7457610880000005</v>
      </c>
      <c r="O5" s="66"/>
    </row>
    <row r="6" spans="1:19" x14ac:dyDescent="0.25">
      <c r="A6" s="989" t="s">
        <v>7</v>
      </c>
      <c r="B6" s="28" t="s">
        <v>116</v>
      </c>
      <c r="C6" s="1175"/>
      <c r="D6" s="1175"/>
      <c r="E6" s="1175"/>
      <c r="F6" s="1175"/>
      <c r="G6" s="1175"/>
      <c r="H6" s="1175"/>
      <c r="I6" s="1175"/>
      <c r="J6" s="991" t="s">
        <v>12</v>
      </c>
      <c r="K6" s="1175"/>
      <c r="L6" s="1175"/>
      <c r="M6" s="1175"/>
      <c r="N6" s="1175"/>
      <c r="O6" s="66"/>
    </row>
    <row r="7" spans="1:19" x14ac:dyDescent="0.25">
      <c r="A7" s="989" t="s">
        <v>10</v>
      </c>
      <c r="B7" s="1174"/>
      <c r="C7" s="1175"/>
      <c r="D7" s="1175"/>
      <c r="E7" s="1175"/>
      <c r="F7" s="1175"/>
      <c r="G7" s="1175"/>
      <c r="H7" s="1175"/>
      <c r="I7" s="1175"/>
      <c r="J7" s="1175"/>
      <c r="K7" s="1175"/>
      <c r="L7" s="1175"/>
      <c r="M7" s="1175"/>
      <c r="N7" s="1175"/>
      <c r="O7" s="66"/>
    </row>
    <row r="8" spans="1:19" x14ac:dyDescent="0.25">
      <c r="A8" s="989" t="s">
        <v>13</v>
      </c>
      <c r="B8" s="1174"/>
      <c r="C8" s="1175"/>
      <c r="D8" s="1175"/>
      <c r="E8" s="1175"/>
      <c r="F8" s="1175"/>
      <c r="G8" s="1175"/>
      <c r="H8" s="1175"/>
      <c r="I8" s="1175"/>
      <c r="J8" s="1175"/>
      <c r="K8" s="1175"/>
      <c r="L8" s="1175"/>
      <c r="M8" s="1175"/>
      <c r="N8" s="1175"/>
      <c r="O8" s="66"/>
    </row>
    <row r="9" spans="1:19" x14ac:dyDescent="0.25">
      <c r="A9" s="1178"/>
      <c r="B9" s="1179"/>
      <c r="C9" s="1179"/>
      <c r="D9" s="1179"/>
      <c r="E9" s="1179"/>
      <c r="F9" s="1175"/>
      <c r="G9" s="1175"/>
      <c r="H9" s="1175"/>
      <c r="I9" s="1175"/>
      <c r="J9" s="1175"/>
      <c r="K9" s="1175"/>
      <c r="L9" s="1175"/>
      <c r="M9" s="1175"/>
      <c r="N9" s="1175"/>
      <c r="O9" s="66"/>
    </row>
    <row r="10" spans="1:19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6"/>
    </row>
    <row r="11" spans="1:19" x14ac:dyDescent="0.25">
      <c r="A11" s="85">
        <v>10</v>
      </c>
      <c r="B11" s="670" t="s">
        <v>66</v>
      </c>
      <c r="C11" s="20" t="s">
        <v>38</v>
      </c>
      <c r="D11" s="272">
        <f>4.2</f>
        <v>4.2</v>
      </c>
      <c r="E11" s="252">
        <f>J11*K11*L11</f>
        <v>0.20437632</v>
      </c>
      <c r="F11" s="20" t="s">
        <v>94</v>
      </c>
      <c r="G11" s="20"/>
      <c r="H11" s="273"/>
      <c r="I11" s="21" t="s">
        <v>95</v>
      </c>
      <c r="J11" s="242">
        <f>3.14*20*20/1000000</f>
        <v>1.256E-3</v>
      </c>
      <c r="K11" s="251">
        <v>0.06</v>
      </c>
      <c r="L11" s="79">
        <v>2712</v>
      </c>
      <c r="M11" s="23">
        <v>1</v>
      </c>
      <c r="N11" s="272">
        <f>D11*E11*M11</f>
        <v>0.85838054400000008</v>
      </c>
      <c r="O11" s="66"/>
    </row>
    <row r="12" spans="1:19" x14ac:dyDescent="0.25">
      <c r="A12" s="1180"/>
      <c r="B12" s="1181"/>
      <c r="C12" s="1181"/>
      <c r="D12" s="1181"/>
      <c r="E12" s="1181"/>
      <c r="F12" s="1181"/>
      <c r="G12" s="1181"/>
      <c r="H12" s="1181"/>
      <c r="I12" s="1181"/>
      <c r="J12" s="1181"/>
      <c r="K12" s="1181"/>
      <c r="L12" s="1181"/>
      <c r="M12" s="105" t="s">
        <v>18</v>
      </c>
      <c r="N12" s="997">
        <f>SUM(N11:N11)</f>
        <v>0.85838054400000008</v>
      </c>
      <c r="O12" s="66"/>
    </row>
    <row r="13" spans="1:19" x14ac:dyDescent="0.25">
      <c r="A13" s="1182"/>
      <c r="B13" s="1175"/>
      <c r="C13" s="1175"/>
      <c r="D13" s="1175"/>
      <c r="E13" s="1175"/>
      <c r="F13" s="1175"/>
      <c r="G13" s="1175"/>
      <c r="H13" s="1175"/>
      <c r="I13" s="1175"/>
      <c r="J13" s="1175"/>
      <c r="K13" s="1175"/>
      <c r="L13" s="1175"/>
      <c r="M13" s="1175"/>
      <c r="N13" s="1175"/>
      <c r="O13" s="66"/>
      <c r="R13" s="1183"/>
      <c r="S13" s="1183"/>
    </row>
    <row r="14" spans="1:19" x14ac:dyDescent="0.25">
      <c r="A14" s="998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1181"/>
      <c r="K14" s="1181"/>
      <c r="L14" s="1181"/>
      <c r="M14" s="1181"/>
      <c r="N14" s="1181"/>
      <c r="O14" s="66"/>
      <c r="R14" s="1183"/>
    </row>
    <row r="15" spans="1:19" x14ac:dyDescent="0.25">
      <c r="A15" s="1184">
        <v>10</v>
      </c>
      <c r="B15" s="1185" t="s">
        <v>39</v>
      </c>
      <c r="C15" s="1184"/>
      <c r="D15" s="385">
        <v>1.3</v>
      </c>
      <c r="E15" s="1185" t="s">
        <v>32</v>
      </c>
      <c r="F15" s="1184">
        <v>1</v>
      </c>
      <c r="G15" s="1184" t="s">
        <v>553</v>
      </c>
      <c r="H15" s="1184">
        <f>1/16</f>
        <v>6.25E-2</v>
      </c>
      <c r="I15" s="329">
        <f t="shared" ref="I15:I20" si="0">IF(H15="",D15*F15,D15*F15*H15)</f>
        <v>8.1250000000000003E-2</v>
      </c>
      <c r="J15" s="1175"/>
      <c r="K15" s="1175"/>
      <c r="L15" s="1175"/>
      <c r="M15" s="1175"/>
      <c r="N15" s="1175"/>
      <c r="O15" s="66"/>
      <c r="R15" s="1183"/>
    </row>
    <row r="16" spans="1:19" ht="28.15" customHeight="1" x14ac:dyDescent="0.25">
      <c r="A16" s="383">
        <v>20</v>
      </c>
      <c r="B16" s="1185" t="s">
        <v>92</v>
      </c>
      <c r="C16" s="383" t="s">
        <v>192</v>
      </c>
      <c r="D16" s="385">
        <v>0.04</v>
      </c>
      <c r="E16" s="383" t="s">
        <v>93</v>
      </c>
      <c r="F16" s="1186">
        <v>17</v>
      </c>
      <c r="G16" s="1185" t="s">
        <v>193</v>
      </c>
      <c r="H16" s="1184">
        <v>1</v>
      </c>
      <c r="I16" s="329">
        <f t="shared" si="0"/>
        <v>0.68</v>
      </c>
      <c r="J16" s="1175"/>
      <c r="K16" s="1175"/>
      <c r="L16" s="1175"/>
      <c r="M16" s="1175"/>
      <c r="N16" s="1175"/>
      <c r="O16" s="66"/>
      <c r="R16" s="1183"/>
    </row>
    <row r="17" spans="1:19" x14ac:dyDescent="0.25">
      <c r="A17" s="1184">
        <v>30</v>
      </c>
      <c r="B17" s="1185" t="s">
        <v>91</v>
      </c>
      <c r="C17" s="1184"/>
      <c r="D17" s="385">
        <v>0.65</v>
      </c>
      <c r="E17" s="1185" t="s">
        <v>32</v>
      </c>
      <c r="F17" s="1184">
        <v>1</v>
      </c>
      <c r="G17" s="1184" t="s">
        <v>553</v>
      </c>
      <c r="H17" s="1184">
        <f>1/16</f>
        <v>6.25E-2</v>
      </c>
      <c r="I17" s="329">
        <f t="shared" si="0"/>
        <v>4.0625000000000001E-2</v>
      </c>
      <c r="J17" s="1187"/>
      <c r="K17" s="1187"/>
      <c r="L17" s="1187"/>
      <c r="M17" s="1187"/>
      <c r="N17" s="1187"/>
      <c r="O17" s="1188"/>
      <c r="P17" s="1189"/>
      <c r="Q17" s="1189"/>
      <c r="R17" s="1190"/>
      <c r="S17" s="1189"/>
    </row>
    <row r="18" spans="1:19" ht="15.6" customHeight="1" x14ac:dyDescent="0.25">
      <c r="A18" s="383">
        <v>40</v>
      </c>
      <c r="B18" s="1185" t="s">
        <v>92</v>
      </c>
      <c r="C18" s="383" t="s">
        <v>194</v>
      </c>
      <c r="D18" s="385">
        <v>0.04</v>
      </c>
      <c r="E18" s="383" t="s">
        <v>93</v>
      </c>
      <c r="F18" s="1186">
        <v>2</v>
      </c>
      <c r="G18" s="1185" t="s">
        <v>193</v>
      </c>
      <c r="H18" s="1184">
        <v>1</v>
      </c>
      <c r="I18" s="329">
        <f t="shared" si="0"/>
        <v>0.08</v>
      </c>
      <c r="J18" s="1175"/>
      <c r="K18" s="1175"/>
      <c r="L18" s="1175"/>
      <c r="M18" s="1175"/>
      <c r="N18" s="1175"/>
      <c r="O18" s="66"/>
      <c r="R18" s="1183"/>
    </row>
    <row r="19" spans="1:19" x14ac:dyDescent="0.25">
      <c r="A19" s="1184">
        <v>50</v>
      </c>
      <c r="B19" s="1185" t="s">
        <v>91</v>
      </c>
      <c r="C19" s="1184"/>
      <c r="D19" s="385">
        <v>0.65</v>
      </c>
      <c r="E19" s="1185" t="s">
        <v>32</v>
      </c>
      <c r="F19" s="1184">
        <v>1</v>
      </c>
      <c r="G19" s="1184" t="s">
        <v>553</v>
      </c>
      <c r="H19" s="1184">
        <f>1/16</f>
        <v>6.25E-2</v>
      </c>
      <c r="I19" s="329">
        <f t="shared" si="0"/>
        <v>4.0625000000000001E-2</v>
      </c>
      <c r="J19" s="1175"/>
      <c r="K19" s="1175"/>
      <c r="L19" s="1175"/>
      <c r="M19" s="1175"/>
      <c r="N19" s="1175"/>
      <c r="O19" s="66"/>
      <c r="R19" s="1183"/>
    </row>
    <row r="20" spans="1:19" ht="14.45" customHeight="1" x14ac:dyDescent="0.25">
      <c r="A20" s="383">
        <v>60</v>
      </c>
      <c r="B20" s="1185" t="s">
        <v>92</v>
      </c>
      <c r="C20" s="383" t="s">
        <v>195</v>
      </c>
      <c r="D20" s="385">
        <v>0.04</v>
      </c>
      <c r="E20" s="383" t="s">
        <v>93</v>
      </c>
      <c r="F20" s="1186">
        <v>2.2999999999999998</v>
      </c>
      <c r="G20" s="1185" t="s">
        <v>193</v>
      </c>
      <c r="H20" s="1184">
        <v>1</v>
      </c>
      <c r="I20" s="329">
        <f t="shared" si="0"/>
        <v>9.1999999999999998E-2</v>
      </c>
      <c r="J20" s="1175"/>
      <c r="K20" s="1175"/>
      <c r="L20" s="1175"/>
      <c r="M20" s="1175"/>
      <c r="N20" s="1175"/>
      <c r="O20" s="66"/>
    </row>
    <row r="21" spans="1:19" x14ac:dyDescent="0.25">
      <c r="A21" s="1180"/>
      <c r="B21" s="1181"/>
      <c r="C21" s="1181"/>
      <c r="D21" s="1181"/>
      <c r="E21" s="1181"/>
      <c r="F21" s="1181"/>
      <c r="G21" s="1181"/>
      <c r="H21" s="108" t="s">
        <v>18</v>
      </c>
      <c r="I21" s="997">
        <f>SUM(I15:I20)</f>
        <v>1.0145000000000002</v>
      </c>
      <c r="J21" s="1181"/>
      <c r="K21" s="1181"/>
      <c r="L21" s="1181"/>
      <c r="M21" s="1181"/>
      <c r="N21" s="1181"/>
      <c r="O21" s="66"/>
    </row>
    <row r="22" spans="1:19" ht="15.75" thickBot="1" x14ac:dyDescent="0.3">
      <c r="A22" s="1191"/>
      <c r="B22" s="1192"/>
      <c r="C22" s="1192"/>
      <c r="D22" s="1192"/>
      <c r="E22" s="1192"/>
      <c r="F22" s="1192"/>
      <c r="G22" s="1192"/>
      <c r="H22" s="1192"/>
      <c r="I22" s="1192"/>
      <c r="J22" s="1192"/>
      <c r="K22" s="1192"/>
      <c r="L22" s="1192"/>
      <c r="M22" s="1192"/>
      <c r="N22" s="1192"/>
      <c r="O22" s="1193"/>
    </row>
  </sheetData>
  <hyperlinks>
    <hyperlink ref="B4" location="SU_A0200" display="Lower Front A-arm" xr:uid="{00000000-0004-0000-1900-000000000000}"/>
    <hyperlink ref="E3" location="dSU_02002" display="Drawing" xr:uid="{00000000-0004-0000-1900-000001000000}"/>
    <hyperlink ref="G2" location="SU_A0200_BOM" display="Back to BOM" xr:uid="{00000000-0004-0000-1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18.85546875" customWidth="1"/>
  </cols>
  <sheetData>
    <row r="1" spans="1:2" x14ac:dyDescent="0.25">
      <c r="A1" t="s">
        <v>99</v>
      </c>
      <c r="B1" s="88" t="s">
        <v>108</v>
      </c>
    </row>
    <row r="6" spans="1:2" x14ac:dyDescent="0.25">
      <c r="B6" s="134"/>
    </row>
  </sheetData>
  <hyperlinks>
    <hyperlink ref="B1" location="SU_02002!B5" display="SU_01002" xr:uid="{00000000-0004-0000-1A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19.42578125" customWidth="1"/>
    <col min="3" max="3" width="33" customWidth="1"/>
    <col min="5" max="5" width="17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11.220746039999998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109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11.220746039999998</v>
      </c>
      <c r="O5" s="62"/>
    </row>
    <row r="6" spans="1:15" x14ac:dyDescent="0.25">
      <c r="A6" s="99" t="s">
        <v>7</v>
      </c>
      <c r="B6" s="28" t="s">
        <v>110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9.9739964799999985</v>
      </c>
      <c r="E11" s="140">
        <f>J11*K11</f>
        <v>3.1563279999999995E-5</v>
      </c>
      <c r="F11" s="20" t="s">
        <v>119</v>
      </c>
      <c r="G11" s="20"/>
      <c r="H11" s="19"/>
      <c r="I11" s="21" t="s">
        <v>96</v>
      </c>
      <c r="J11" s="242">
        <f>3.14*(0.008*0.008-0.006*0.006)</f>
        <v>8.7919999999999985E-5</v>
      </c>
      <c r="K11" s="242">
        <v>0.35899999999999999</v>
      </c>
      <c r="L11" s="79">
        <v>1580</v>
      </c>
      <c r="M11" s="139">
        <v>1</v>
      </c>
      <c r="N11" s="30">
        <f>D11*M11</f>
        <v>9.9739964799999985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9.9739964799999985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30" x14ac:dyDescent="0.25">
      <c r="A15" s="137">
        <v>10</v>
      </c>
      <c r="B15" s="137" t="s">
        <v>139</v>
      </c>
      <c r="C15" s="137" t="s">
        <v>140</v>
      </c>
      <c r="D15" s="213">
        <v>25</v>
      </c>
      <c r="E15" s="212" t="s">
        <v>141</v>
      </c>
      <c r="F15" s="514">
        <f>J11*K11*L11</f>
        <v>4.9869982399999992E-2</v>
      </c>
      <c r="G15" s="211"/>
      <c r="H15" s="211"/>
      <c r="I15" s="21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1.2467495599999998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 xr:uid="{00000000-0004-0000-1B00-000000000000}"/>
    <hyperlink ref="G2" location="SU_A0200_BOM" display="Back to BOM" xr:uid="{00000000-0004-0000-1B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33.85546875" customWidth="1"/>
    <col min="3" max="3" width="18.28515625" customWidth="1"/>
    <col min="5" max="5" width="18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10.001779199999998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111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10.001779199999998</v>
      </c>
      <c r="O5" s="62"/>
    </row>
    <row r="6" spans="1:15" x14ac:dyDescent="0.25">
      <c r="A6" s="99" t="s">
        <v>7</v>
      </c>
      <c r="B6" s="28" t="s">
        <v>112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8.8904703999999981</v>
      </c>
      <c r="E11" s="140">
        <f>J11*K11</f>
        <v>2.8134399999999996E-5</v>
      </c>
      <c r="F11" s="20" t="s">
        <v>119</v>
      </c>
      <c r="G11" s="20"/>
      <c r="H11" s="19"/>
      <c r="I11" s="21" t="s">
        <v>96</v>
      </c>
      <c r="J11" s="242">
        <f>3.14*(0.008*0.008-0.006*0.006)</f>
        <v>8.7919999999999985E-5</v>
      </c>
      <c r="K11" s="242">
        <f>320/1000</f>
        <v>0.32</v>
      </c>
      <c r="L11" s="79">
        <v>1580</v>
      </c>
      <c r="M11" s="139">
        <v>1</v>
      </c>
      <c r="N11" s="30">
        <f>D11*M11</f>
        <v>8.8904703999999981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8.8904703999999981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25">
      <c r="A15" s="137">
        <v>10</v>
      </c>
      <c r="B15" s="137" t="s">
        <v>139</v>
      </c>
      <c r="C15" s="137" t="s">
        <v>140</v>
      </c>
      <c r="D15" s="213">
        <v>25</v>
      </c>
      <c r="E15" s="212" t="s">
        <v>141</v>
      </c>
      <c r="F15" s="215">
        <f>J11*K11*L11</f>
        <v>4.4452351999999994E-2</v>
      </c>
      <c r="G15" s="211"/>
      <c r="H15" s="211"/>
      <c r="I15" s="21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1.1113087999999998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 xr:uid="{00000000-0004-0000-1C00-000000000000}"/>
    <hyperlink ref="G2" location="SU_A0200_BOM" display="Back to BOM" xr:uid="{00000000-0004-0000-1C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66"/>
    <pageSetUpPr fitToPage="1"/>
  </sheetPr>
  <dimension ref="A1:S27"/>
  <sheetViews>
    <sheetView zoomScale="70" zoomScaleNormal="70" zoomScalePageLayoutView="70" workbookViewId="0">
      <selection activeCell="E3" sqref="E3"/>
    </sheetView>
  </sheetViews>
  <sheetFormatPr baseColWidth="10" defaultColWidth="9.140625" defaultRowHeight="15" x14ac:dyDescent="0.25"/>
  <cols>
    <col min="2" max="2" width="24.42578125" customWidth="1"/>
    <col min="3" max="3" width="24.5703125" customWidth="1"/>
    <col min="9" max="9" width="11" customWidth="1"/>
    <col min="10" max="11" width="10" bestFit="1" customWidth="1"/>
    <col min="15" max="15" width="3.140625" customWidth="1"/>
    <col min="18" max="19" width="16.2851562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SU_01001_m+SU_01001_p</f>
        <v>15.090551905600002</v>
      </c>
      <c r="O2" s="62"/>
    </row>
    <row r="3" spans="1:19" x14ac:dyDescent="0.25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25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18" t="s">
        <v>89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15.090551905600002</v>
      </c>
      <c r="O5" s="62"/>
    </row>
    <row r="6" spans="1:19" x14ac:dyDescent="0.25">
      <c r="A6" s="99" t="s">
        <v>7</v>
      </c>
      <c r="B6" s="28" t="s">
        <v>102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x14ac:dyDescent="0.25">
      <c r="A11" s="85">
        <v>10</v>
      </c>
      <c r="B11" s="26" t="s">
        <v>66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67</v>
      </c>
      <c r="J11" s="242">
        <f>69*73/1000000</f>
        <v>5.0369999999999998E-3</v>
      </c>
      <c r="K11" s="242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2.6965519055999998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25" customFormat="1" ht="28.9" customHeight="1" x14ac:dyDescent="0.25">
      <c r="A15" s="243">
        <v>10</v>
      </c>
      <c r="B15" s="244" t="s">
        <v>39</v>
      </c>
      <c r="C15" s="243"/>
      <c r="D15" s="245">
        <v>1.3</v>
      </c>
      <c r="E15" s="244" t="s">
        <v>32</v>
      </c>
      <c r="F15" s="250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5" customHeight="1" x14ac:dyDescent="0.25">
      <c r="A16" s="246">
        <v>20</v>
      </c>
      <c r="B16" s="244" t="s">
        <v>92</v>
      </c>
      <c r="C16" s="247" t="s">
        <v>185</v>
      </c>
      <c r="D16" s="248">
        <v>0.04</v>
      </c>
      <c r="E16" s="246" t="s">
        <v>93</v>
      </c>
      <c r="F16" s="249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25">
      <c r="A17" s="243">
        <v>30</v>
      </c>
      <c r="B17" s="244" t="s">
        <v>91</v>
      </c>
      <c r="C17" s="243"/>
      <c r="D17" s="245">
        <v>0.65</v>
      </c>
      <c r="E17" s="244" t="s">
        <v>32</v>
      </c>
      <c r="F17" s="250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ht="18.600000000000001" customHeight="1" x14ac:dyDescent="0.25">
      <c r="A18" s="246">
        <v>40</v>
      </c>
      <c r="B18" s="244" t="s">
        <v>92</v>
      </c>
      <c r="C18" s="247" t="s">
        <v>186</v>
      </c>
      <c r="D18" s="248">
        <v>0.04</v>
      </c>
      <c r="E18" s="246" t="s">
        <v>93</v>
      </c>
      <c r="F18" s="249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ht="29.45" customHeight="1" x14ac:dyDescent="0.25">
      <c r="A19" s="243">
        <v>50</v>
      </c>
      <c r="B19" s="244" t="s">
        <v>91</v>
      </c>
      <c r="C19" s="243"/>
      <c r="D19" s="245">
        <v>0.65</v>
      </c>
      <c r="E19" s="244" t="s">
        <v>32</v>
      </c>
      <c r="F19" s="250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ht="29.45" customHeight="1" x14ac:dyDescent="0.25">
      <c r="A20" s="246">
        <v>60</v>
      </c>
      <c r="B20" s="244" t="s">
        <v>92</v>
      </c>
      <c r="C20" s="247" t="s">
        <v>187</v>
      </c>
      <c r="D20" s="248">
        <v>0.04</v>
      </c>
      <c r="E20" s="246" t="s">
        <v>93</v>
      </c>
      <c r="F20" s="249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ht="14.45" customHeight="1" x14ac:dyDescent="0.25">
      <c r="A21" s="243">
        <v>70</v>
      </c>
      <c r="B21" s="244" t="s">
        <v>91</v>
      </c>
      <c r="C21" s="243"/>
      <c r="D21" s="245">
        <v>0.65</v>
      </c>
      <c r="E21" s="244" t="s">
        <v>32</v>
      </c>
      <c r="F21" s="250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ht="29.45" customHeight="1" x14ac:dyDescent="0.25">
      <c r="A22" s="246">
        <v>80</v>
      </c>
      <c r="B22" s="244" t="s">
        <v>92</v>
      </c>
      <c r="C22" s="247" t="s">
        <v>188</v>
      </c>
      <c r="D22" s="248">
        <v>0.04</v>
      </c>
      <c r="E22" s="246" t="s">
        <v>93</v>
      </c>
      <c r="F22" s="249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1"/>
    </row>
    <row r="23" spans="1:18" ht="16.899999999999999" customHeight="1" x14ac:dyDescent="0.25">
      <c r="A23" s="243">
        <v>90</v>
      </c>
      <c r="B23" s="244" t="s">
        <v>91</v>
      </c>
      <c r="C23" s="243"/>
      <c r="D23" s="245">
        <v>0.65</v>
      </c>
      <c r="E23" s="244" t="s">
        <v>32</v>
      </c>
      <c r="F23" s="250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ht="28.9" customHeight="1" x14ac:dyDescent="0.25">
      <c r="A24" s="246">
        <v>100</v>
      </c>
      <c r="B24" s="244" t="s">
        <v>92</v>
      </c>
      <c r="C24" s="247" t="s">
        <v>189</v>
      </c>
      <c r="D24" s="248">
        <v>0.04</v>
      </c>
      <c r="E24" s="246" t="s">
        <v>93</v>
      </c>
      <c r="F24" s="249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1"/>
    </row>
    <row r="25" spans="1:18" ht="28.9" customHeight="1" x14ac:dyDescent="0.25">
      <c r="A25" s="243">
        <v>110</v>
      </c>
      <c r="B25" s="244" t="s">
        <v>190</v>
      </c>
      <c r="C25" s="247" t="s">
        <v>191</v>
      </c>
      <c r="D25" s="248">
        <v>0.35</v>
      </c>
      <c r="E25" s="246"/>
      <c r="F25" s="249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25">
      <c r="A26" s="67"/>
      <c r="B26" s="24"/>
      <c r="C26" s="24"/>
      <c r="D26" s="24"/>
      <c r="E26" s="24"/>
      <c r="F26" s="24"/>
      <c r="G26" s="24"/>
      <c r="H26" s="108" t="s">
        <v>18</v>
      </c>
      <c r="I26" s="106">
        <f>SUM(I15:I25)</f>
        <v>12.394000000000002</v>
      </c>
      <c r="J26" s="24"/>
      <c r="K26" s="24"/>
      <c r="L26" s="24"/>
      <c r="M26" s="24"/>
      <c r="N26" s="24"/>
      <c r="O26" s="62"/>
    </row>
    <row r="27" spans="1:18" ht="15.75" thickBot="1" x14ac:dyDescent="0.3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 xr:uid="{00000000-0004-0000-0200-000000000000}"/>
    <hyperlink ref="E3" location="dSU_01001" display="Drawing" xr:uid="{00000000-0004-0000-0200-000001000000}"/>
    <hyperlink ref="G2" location="SU_A0100_BOM" display="Back to BOM" xr:uid="{00000000-0004-0000-0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25.140625" customWidth="1"/>
    <col min="3" max="3" width="30.5703125" customWidth="1"/>
    <col min="9" max="9" width="14" customWidth="1"/>
    <col min="17" max="17" width="12.85546875" bestFit="1" customWidth="1"/>
  </cols>
  <sheetData>
    <row r="1" spans="1:17" x14ac:dyDescent="0.25">
      <c r="A1" s="515"/>
      <c r="B1" s="516"/>
      <c r="C1" s="516"/>
      <c r="D1" s="516"/>
      <c r="E1" s="516"/>
      <c r="F1" s="516"/>
      <c r="G1" s="516"/>
      <c r="H1" s="516"/>
      <c r="I1" s="516"/>
      <c r="J1" s="516"/>
      <c r="K1" s="516"/>
      <c r="L1" s="516"/>
      <c r="M1" s="516"/>
      <c r="N1" s="516"/>
      <c r="O1" s="517"/>
    </row>
    <row r="2" spans="1:17" x14ac:dyDescent="0.25">
      <c r="A2" s="415" t="s">
        <v>0</v>
      </c>
      <c r="B2" s="414" t="s">
        <v>37</v>
      </c>
      <c r="C2" s="447"/>
      <c r="D2" s="447"/>
      <c r="E2" s="447"/>
      <c r="F2" s="447"/>
      <c r="G2" s="417" t="s">
        <v>62</v>
      </c>
      <c r="H2" s="447"/>
      <c r="I2" s="447"/>
      <c r="J2" s="518" t="s">
        <v>1</v>
      </c>
      <c r="K2" s="519">
        <v>81</v>
      </c>
      <c r="L2" s="447"/>
      <c r="M2" s="415" t="s">
        <v>16</v>
      </c>
      <c r="N2" s="520">
        <f>N12+I17</f>
        <v>0.90817037600000006</v>
      </c>
      <c r="O2" s="521"/>
    </row>
    <row r="3" spans="1:17" x14ac:dyDescent="0.25">
      <c r="A3" s="415" t="s">
        <v>3</v>
      </c>
      <c r="B3" s="414" t="str">
        <f>'SU A0200'!B3</f>
        <v>Suspension &amp; Shocks</v>
      </c>
      <c r="C3" s="447"/>
      <c r="D3" s="415" t="s">
        <v>6</v>
      </c>
      <c r="E3" s="522" t="s">
        <v>60</v>
      </c>
      <c r="F3" s="447"/>
      <c r="G3" s="447"/>
      <c r="H3" s="447"/>
      <c r="I3" s="447"/>
      <c r="J3" s="447"/>
      <c r="K3" s="447"/>
      <c r="L3" s="447"/>
      <c r="M3" s="415" t="s">
        <v>4</v>
      </c>
      <c r="N3" s="523">
        <v>2</v>
      </c>
      <c r="O3" s="521"/>
    </row>
    <row r="4" spans="1:17" x14ac:dyDescent="0.25">
      <c r="A4" s="415" t="s">
        <v>5</v>
      </c>
      <c r="B4" s="417" t="s">
        <v>105</v>
      </c>
      <c r="C4" s="447"/>
      <c r="D4" s="415" t="s">
        <v>8</v>
      </c>
      <c r="E4" s="447"/>
      <c r="F4" s="447"/>
      <c r="G4" s="447"/>
      <c r="H4" s="447"/>
      <c r="I4" s="447"/>
      <c r="J4" s="524" t="s">
        <v>6</v>
      </c>
      <c r="K4" s="447"/>
      <c r="L4" s="447"/>
      <c r="M4" s="447"/>
      <c r="N4" s="447"/>
      <c r="O4" s="521"/>
    </row>
    <row r="5" spans="1:17" x14ac:dyDescent="0.25">
      <c r="A5" s="415" t="s">
        <v>15</v>
      </c>
      <c r="B5" s="525" t="s">
        <v>122</v>
      </c>
      <c r="C5" s="447"/>
      <c r="D5" s="415" t="s">
        <v>12</v>
      </c>
      <c r="E5" s="447"/>
      <c r="F5" s="447"/>
      <c r="G5" s="447"/>
      <c r="H5" s="447"/>
      <c r="I5" s="447"/>
      <c r="J5" s="524" t="s">
        <v>8</v>
      </c>
      <c r="K5" s="447"/>
      <c r="L5" s="447"/>
      <c r="M5" s="415" t="s">
        <v>9</v>
      </c>
      <c r="N5" s="520">
        <f>N3*N2</f>
        <v>1.8163407520000001</v>
      </c>
      <c r="O5" s="521"/>
    </row>
    <row r="6" spans="1:17" x14ac:dyDescent="0.25">
      <c r="A6" s="415" t="s">
        <v>7</v>
      </c>
      <c r="B6" s="419" t="s">
        <v>113</v>
      </c>
      <c r="C6" s="447"/>
      <c r="D6" s="447"/>
      <c r="E6" s="447"/>
      <c r="F6" s="447"/>
      <c r="G6" s="447"/>
      <c r="H6" s="447"/>
      <c r="I6" s="447"/>
      <c r="J6" s="524" t="s">
        <v>12</v>
      </c>
      <c r="K6" s="447"/>
      <c r="L6" s="447"/>
      <c r="M6" s="447"/>
      <c r="N6" s="447"/>
      <c r="O6" s="521"/>
    </row>
    <row r="7" spans="1:17" x14ac:dyDescent="0.25">
      <c r="A7" s="415" t="s">
        <v>10</v>
      </c>
      <c r="B7" s="414"/>
      <c r="C7" s="447"/>
      <c r="D7" s="447"/>
      <c r="E7" s="447"/>
      <c r="F7" s="447"/>
      <c r="G7" s="447"/>
      <c r="H7" s="447"/>
      <c r="I7" s="447"/>
      <c r="J7" s="447"/>
      <c r="K7" s="447"/>
      <c r="L7" s="447"/>
      <c r="M7" s="447"/>
      <c r="N7" s="447"/>
      <c r="O7" s="521"/>
    </row>
    <row r="8" spans="1:17" x14ac:dyDescent="0.25">
      <c r="A8" s="415" t="s">
        <v>13</v>
      </c>
      <c r="B8" s="414"/>
      <c r="C8" s="447"/>
      <c r="D8" s="447"/>
      <c r="E8" s="447"/>
      <c r="F8" s="447"/>
      <c r="G8" s="447"/>
      <c r="H8" s="447"/>
      <c r="I8" s="447"/>
      <c r="J8" s="447"/>
      <c r="K8" s="447"/>
      <c r="L8" s="447"/>
      <c r="M8" s="447"/>
      <c r="N8" s="447"/>
      <c r="O8" s="521"/>
    </row>
    <row r="9" spans="1:17" x14ac:dyDescent="0.25">
      <c r="A9" s="526"/>
      <c r="B9" s="527"/>
      <c r="C9" s="527"/>
      <c r="D9" s="527"/>
      <c r="E9" s="527"/>
      <c r="F9" s="447"/>
      <c r="G9" s="447"/>
      <c r="H9" s="447"/>
      <c r="I9" s="447"/>
      <c r="J9" s="447"/>
      <c r="K9" s="447"/>
      <c r="L9" s="447"/>
      <c r="M9" s="447"/>
      <c r="N9" s="447"/>
      <c r="O9" s="521"/>
    </row>
    <row r="10" spans="1:17" x14ac:dyDescent="0.25">
      <c r="A10" s="528" t="s">
        <v>14</v>
      </c>
      <c r="B10" s="529" t="s">
        <v>19</v>
      </c>
      <c r="C10" s="529" t="s">
        <v>20</v>
      </c>
      <c r="D10" s="529" t="s">
        <v>21</v>
      </c>
      <c r="E10" s="529" t="s">
        <v>22</v>
      </c>
      <c r="F10" s="530" t="s">
        <v>23</v>
      </c>
      <c r="G10" s="530" t="s">
        <v>24</v>
      </c>
      <c r="H10" s="530" t="s">
        <v>25</v>
      </c>
      <c r="I10" s="530" t="s">
        <v>26</v>
      </c>
      <c r="J10" s="530" t="s">
        <v>27</v>
      </c>
      <c r="K10" s="530" t="s">
        <v>28</v>
      </c>
      <c r="L10" s="530" t="s">
        <v>29</v>
      </c>
      <c r="M10" s="530" t="s">
        <v>17</v>
      </c>
      <c r="N10" s="530" t="s">
        <v>18</v>
      </c>
      <c r="O10" s="521"/>
    </row>
    <row r="11" spans="1:17" x14ac:dyDescent="0.25">
      <c r="A11" s="531">
        <v>10</v>
      </c>
      <c r="B11" s="532" t="s">
        <v>98</v>
      </c>
      <c r="C11" s="533" t="s">
        <v>38</v>
      </c>
      <c r="D11" s="534">
        <v>2.25</v>
      </c>
      <c r="E11" s="535">
        <f>J11*K11*L11</f>
        <v>1.3409056000000001E-2</v>
      </c>
      <c r="F11" s="533" t="s">
        <v>94</v>
      </c>
      <c r="G11" s="533"/>
      <c r="H11" s="536"/>
      <c r="I11" s="537" t="s">
        <v>97</v>
      </c>
      <c r="J11" s="1166">
        <f>3.14*8*8/1000000</f>
        <v>2.0096E-4</v>
      </c>
      <c r="K11" s="1166">
        <f>8.5/1000</f>
        <v>8.5000000000000006E-3</v>
      </c>
      <c r="L11" s="538">
        <v>7850</v>
      </c>
      <c r="M11" s="539">
        <v>1</v>
      </c>
      <c r="N11" s="534">
        <f>D11*E11</f>
        <v>3.0170376000000002E-2</v>
      </c>
      <c r="O11" s="540"/>
      <c r="Q11" s="131"/>
    </row>
    <row r="12" spans="1:17" x14ac:dyDescent="0.25">
      <c r="A12" s="541"/>
      <c r="B12" s="542"/>
      <c r="C12" s="542"/>
      <c r="D12" s="542"/>
      <c r="E12" s="542"/>
      <c r="F12" s="542"/>
      <c r="G12" s="542"/>
      <c r="H12" s="542"/>
      <c r="I12" s="542"/>
      <c r="J12" s="542"/>
      <c r="K12" s="542"/>
      <c r="L12" s="542"/>
      <c r="M12" s="543" t="s">
        <v>18</v>
      </c>
      <c r="N12" s="544">
        <f>SUM(N11:N11)</f>
        <v>3.0170376000000002E-2</v>
      </c>
      <c r="O12" s="521"/>
    </row>
    <row r="13" spans="1:17" x14ac:dyDescent="0.25">
      <c r="A13" s="545"/>
      <c r="B13" s="447"/>
      <c r="C13" s="447"/>
      <c r="D13" s="447"/>
      <c r="E13" s="447"/>
      <c r="F13" s="447"/>
      <c r="G13" s="447"/>
      <c r="H13" s="447"/>
      <c r="I13" s="447"/>
      <c r="J13" s="447"/>
      <c r="K13" s="447"/>
      <c r="L13" s="447"/>
      <c r="M13" s="447"/>
      <c r="N13" s="447"/>
      <c r="O13" s="521"/>
    </row>
    <row r="14" spans="1:17" x14ac:dyDescent="0.25">
      <c r="A14" s="546" t="s">
        <v>14</v>
      </c>
      <c r="B14" s="530" t="s">
        <v>31</v>
      </c>
      <c r="C14" s="530" t="s">
        <v>20</v>
      </c>
      <c r="D14" s="530" t="s">
        <v>21</v>
      </c>
      <c r="E14" s="530" t="s">
        <v>32</v>
      </c>
      <c r="F14" s="530" t="s">
        <v>17</v>
      </c>
      <c r="G14" s="530" t="s">
        <v>33</v>
      </c>
      <c r="H14" s="530" t="s">
        <v>34</v>
      </c>
      <c r="I14" s="530" t="s">
        <v>18</v>
      </c>
      <c r="J14" s="542"/>
      <c r="K14" s="542"/>
      <c r="L14" s="542"/>
      <c r="M14" s="542"/>
      <c r="N14" s="542"/>
      <c r="O14" s="521"/>
    </row>
    <row r="15" spans="1:17" ht="31.15" customHeight="1" x14ac:dyDescent="0.25">
      <c r="A15" s="322">
        <v>10</v>
      </c>
      <c r="B15" s="322" t="s">
        <v>39</v>
      </c>
      <c r="C15" s="322" t="s">
        <v>68</v>
      </c>
      <c r="D15" s="327">
        <v>1.3</v>
      </c>
      <c r="E15" s="322" t="s">
        <v>32</v>
      </c>
      <c r="F15" s="227">
        <v>1</v>
      </c>
      <c r="G15" s="321" t="s">
        <v>221</v>
      </c>
      <c r="H15" s="321">
        <v>0.5</v>
      </c>
      <c r="I15" s="329">
        <f>IF(H15="",D15*F15,D15*F15*H15)</f>
        <v>0.65</v>
      </c>
      <c r="J15" s="370"/>
      <c r="K15" s="370"/>
      <c r="L15" s="370"/>
      <c r="M15" s="370"/>
      <c r="N15" s="370"/>
      <c r="O15" s="371"/>
    </row>
    <row r="16" spans="1:17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1.9</v>
      </c>
      <c r="G16" s="379" t="s">
        <v>197</v>
      </c>
      <c r="H16" s="379">
        <v>3</v>
      </c>
      <c r="I16" s="329">
        <f>IF(H16="",D16*F16,D16*F16*H16)</f>
        <v>0.22799999999999998</v>
      </c>
      <c r="J16" s="335"/>
      <c r="K16" s="335"/>
      <c r="L16" s="335"/>
      <c r="M16" s="335"/>
      <c r="N16" s="335"/>
      <c r="O16" s="340"/>
    </row>
    <row r="17" spans="1:15" x14ac:dyDescent="0.25">
      <c r="A17" s="541"/>
      <c r="B17" s="542"/>
      <c r="C17" s="542"/>
      <c r="D17" s="542"/>
      <c r="E17" s="542"/>
      <c r="F17" s="542"/>
      <c r="G17" s="542"/>
      <c r="H17" s="547" t="s">
        <v>18</v>
      </c>
      <c r="I17" s="544">
        <f>SUM(I15:I16)</f>
        <v>0.878</v>
      </c>
      <c r="J17" s="542"/>
      <c r="K17" s="542"/>
      <c r="L17" s="542"/>
      <c r="M17" s="542"/>
      <c r="N17" s="542"/>
      <c r="O17" s="521"/>
    </row>
    <row r="18" spans="1:15" ht="15.75" thickBot="1" x14ac:dyDescent="0.3">
      <c r="A18" s="548"/>
      <c r="B18" s="549"/>
      <c r="C18" s="549"/>
      <c r="D18" s="549"/>
      <c r="E18" s="549"/>
      <c r="F18" s="549"/>
      <c r="G18" s="549"/>
      <c r="H18" s="549"/>
      <c r="I18" s="549"/>
      <c r="J18" s="549"/>
      <c r="K18" s="549"/>
      <c r="L18" s="549"/>
      <c r="M18" s="549"/>
      <c r="N18" s="549"/>
      <c r="O18" s="550"/>
    </row>
  </sheetData>
  <hyperlinks>
    <hyperlink ref="B4" location="SU_A0200" display="Lower Front A-arm" xr:uid="{00000000-0004-0000-1D00-000000000000}"/>
    <hyperlink ref="E3" location="dSU_02005" display="Drawing" xr:uid="{00000000-0004-0000-1D00-000001000000}"/>
    <hyperlink ref="G2" location="SU_A0200_BOM" display="Back to BOM" xr:uid="{00000000-0004-0000-1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22.5703125" customWidth="1"/>
  </cols>
  <sheetData>
    <row r="1" spans="1:2" x14ac:dyDescent="0.25">
      <c r="A1" t="s">
        <v>99</v>
      </c>
      <c r="B1" s="88" t="s">
        <v>113</v>
      </c>
    </row>
  </sheetData>
  <hyperlinks>
    <hyperlink ref="B1" location="SU_02005" display="SU_02005" xr:uid="{00000000-0004-0000-1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tabColor rgb="FFFFFF66"/>
    <pageSetUpPr fitToPage="1"/>
  </sheetPr>
  <dimension ref="A1:O18"/>
  <sheetViews>
    <sheetView zoomScale="90" zoomScaleNormal="90" zoomScalePageLayoutView="70" workbookViewId="0">
      <selection activeCell="B21" sqref="B21"/>
    </sheetView>
  </sheetViews>
  <sheetFormatPr baseColWidth="10" defaultRowHeight="15" x14ac:dyDescent="0.25"/>
  <cols>
    <col min="2" max="2" width="27.7109375" customWidth="1"/>
    <col min="3" max="3" width="22.42578125" customWidth="1"/>
    <col min="7" max="7" width="2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0.32421353411764708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1.2968541364705883</v>
      </c>
      <c r="O5" s="62"/>
    </row>
    <row r="6" spans="1:15" x14ac:dyDescent="0.25">
      <c r="A6" s="99" t="s">
        <v>7</v>
      </c>
      <c r="B6" s="28" t="s">
        <v>114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30" x14ac:dyDescent="0.25">
      <c r="A11" s="305">
        <v>10</v>
      </c>
      <c r="B11" s="503" t="s">
        <v>204</v>
      </c>
      <c r="C11" s="551"/>
      <c r="D11" s="552">
        <v>2.25</v>
      </c>
      <c r="E11" s="356">
        <f>J11*K11*L11</f>
        <v>6.3101440000000009E-2</v>
      </c>
      <c r="F11" s="354" t="s">
        <v>94</v>
      </c>
      <c r="G11" s="354"/>
      <c r="H11" s="355"/>
      <c r="I11" s="356" t="s">
        <v>97</v>
      </c>
      <c r="J11" s="357">
        <f>3.14*8*8/1000000</f>
        <v>2.0096E-4</v>
      </c>
      <c r="K11" s="381">
        <v>0.04</v>
      </c>
      <c r="L11" s="359">
        <v>7850</v>
      </c>
      <c r="M11" s="360">
        <v>1</v>
      </c>
      <c r="N11" s="361">
        <f>D11*E11*M11</f>
        <v>0.14197824000000003</v>
      </c>
      <c r="O11" s="362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s="25" customFormat="1" ht="33" customHeight="1" x14ac:dyDescent="0.25">
      <c r="A15" s="322">
        <v>10</v>
      </c>
      <c r="B15" s="322" t="s">
        <v>39</v>
      </c>
      <c r="C15" s="322" t="s">
        <v>68</v>
      </c>
      <c r="D15" s="323">
        <v>1.3</v>
      </c>
      <c r="E15" s="322" t="s">
        <v>32</v>
      </c>
      <c r="F15" s="321">
        <v>1</v>
      </c>
      <c r="G15" s="321" t="s">
        <v>551</v>
      </c>
      <c r="H15" s="1164">
        <v>2.9411764705882353E-2</v>
      </c>
      <c r="I15" s="324">
        <f>IF(H15="",D15*F15,D15*F15*H15)</f>
        <v>3.8235294117647062E-2</v>
      </c>
      <c r="J15" s="370"/>
      <c r="K15" s="370"/>
      <c r="L15" s="370"/>
      <c r="M15" s="370"/>
      <c r="N15" s="370"/>
      <c r="O15" s="371"/>
    </row>
    <row r="16" spans="1:15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1.2</v>
      </c>
      <c r="G16" s="379" t="s">
        <v>197</v>
      </c>
      <c r="H16" s="379">
        <v>3</v>
      </c>
      <c r="I16" s="329">
        <f>IF(H16="",D16*F16,D16*F16*H16)</f>
        <v>0.14400000000000002</v>
      </c>
      <c r="J16" s="335"/>
      <c r="K16" s="335"/>
      <c r="L16" s="335"/>
      <c r="M16" s="335"/>
      <c r="N16" s="335"/>
      <c r="O16" s="340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0200" display="Lower Front A-arm" xr:uid="{00000000-0004-0000-1F00-000000000000}"/>
    <hyperlink ref="E3" location="dSU_02005" display="Drawing" xr:uid="{00000000-0004-0000-1F00-000001000000}"/>
    <hyperlink ref="G2" location="SU_A0200_BOM" display="Back to BOM" xr:uid="{00000000-0004-0000-1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5703125" customWidth="1"/>
  </cols>
  <sheetData>
    <row r="1" spans="1:2" x14ac:dyDescent="0.25">
      <c r="A1" t="s">
        <v>124</v>
      </c>
      <c r="B1" s="88" t="str">
        <f>SU_02006</f>
        <v>SU_02006</v>
      </c>
    </row>
  </sheetData>
  <hyperlinks>
    <hyperlink ref="B1" location="SU_02006" display="SU_02006" xr:uid="{00000000-0004-0000-2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28.7109375" customWidth="1"/>
    <col min="3" max="3" width="24.28515625" customWidth="1"/>
    <col min="9" max="9" width="15.28515625" customWidth="1"/>
    <col min="17" max="17" width="12.85546875" bestFit="1" customWidth="1"/>
  </cols>
  <sheetData>
    <row r="1" spans="1:17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0.47719727680000001</v>
      </c>
      <c r="O2" s="62"/>
    </row>
    <row r="3" spans="1:17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7" x14ac:dyDescent="0.25">
      <c r="A4" s="99" t="s">
        <v>5</v>
      </c>
      <c r="B4" s="88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7" x14ac:dyDescent="0.25">
      <c r="A5" s="99" t="s">
        <v>15</v>
      </c>
      <c r="B5" s="72" t="s">
        <v>69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0.95439455360000003</v>
      </c>
      <c r="O5" s="62"/>
    </row>
    <row r="6" spans="1:17" x14ac:dyDescent="0.25">
      <c r="A6" s="99" t="s">
        <v>7</v>
      </c>
      <c r="B6" s="28" t="s">
        <v>125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7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7" s="176" customFormat="1" ht="28.9" customHeight="1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386">
        <v>12</v>
      </c>
      <c r="F11" s="383" t="s">
        <v>30</v>
      </c>
      <c r="G11" s="383"/>
      <c r="H11" s="387"/>
      <c r="I11" s="388" t="s">
        <v>549</v>
      </c>
      <c r="J11" s="389">
        <f>3.14*0.006^2</f>
        <v>1.1304E-4</v>
      </c>
      <c r="K11" s="390">
        <v>0.06</v>
      </c>
      <c r="L11" s="395">
        <v>2710</v>
      </c>
      <c r="M11" s="391">
        <v>1</v>
      </c>
      <c r="N11" s="329">
        <f>IF(J11="",D11*M11,D11*J11*K11*L11*M11)</f>
        <v>7.7197276800000006E-2</v>
      </c>
      <c r="O11" s="396"/>
    </row>
    <row r="12" spans="1:17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7.7197276800000006E-2</v>
      </c>
      <c r="O12" s="62"/>
    </row>
    <row r="13" spans="1:17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1"/>
    </row>
    <row r="14" spans="1:17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25">
      <c r="A15" s="325">
        <v>10</v>
      </c>
      <c r="B15" s="322" t="s">
        <v>199</v>
      </c>
      <c r="C15" s="392"/>
      <c r="D15" s="393">
        <v>0.4</v>
      </c>
      <c r="E15" s="325" t="s">
        <v>40</v>
      </c>
      <c r="F15" s="325">
        <v>1</v>
      </c>
      <c r="G15" s="325"/>
      <c r="H15" s="325"/>
      <c r="I15" s="394">
        <f>IF(H15="",D15*F15,D15*F15*H15)</f>
        <v>0.4</v>
      </c>
      <c r="J15" s="370"/>
      <c r="K15" s="370"/>
      <c r="L15" s="370"/>
      <c r="M15" s="370"/>
      <c r="N15" s="370"/>
      <c r="O15" s="371"/>
    </row>
    <row r="16" spans="1:17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0.4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 xr:uid="{00000000-0004-0000-2100-000000000000}"/>
    <hyperlink ref="B4" location="SU_A0200" display="Lower Front A-arm" xr:uid="{00000000-0004-0000-2100-000001000000}"/>
    <hyperlink ref="G2" location="SU_A0200_BOM" display="Back to BOM" xr:uid="{00000000-0004-0000-2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20" customWidth="1"/>
  </cols>
  <sheetData>
    <row r="1" spans="1:2" x14ac:dyDescent="0.25">
      <c r="A1" t="s">
        <v>99</v>
      </c>
      <c r="B1" s="88" t="str">
        <f>SU_02007</f>
        <v>SU_02007</v>
      </c>
    </row>
  </sheetData>
  <hyperlinks>
    <hyperlink ref="B1" location="SU_02007" display="SU_02007" xr:uid="{00000000-0004-0000-2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3" max="3" width="16.85546875" customWidth="1"/>
    <col min="7" max="7" width="13.140625" customWidth="1"/>
    <col min="9" max="9" width="13.710937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1.3868720000000001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270" t="s">
        <v>105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215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1.3868720000000001</v>
      </c>
      <c r="O5" s="416"/>
    </row>
    <row r="6" spans="1:15" x14ac:dyDescent="0.25">
      <c r="A6" s="413" t="s">
        <v>7</v>
      </c>
      <c r="B6" s="419" t="s">
        <v>229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30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4.5215999999999999E-2</v>
      </c>
      <c r="F11" s="425" t="s">
        <v>141</v>
      </c>
      <c r="G11" s="425"/>
      <c r="H11" s="426"/>
      <c r="I11" s="427" t="s">
        <v>235</v>
      </c>
      <c r="J11" s="428">
        <f>0.048*0.024</f>
        <v>1.152E-3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0.10173600000000001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2.3040000000000001E-3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2.3040000000000001E-2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0.12477600000000001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44.45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15.5</v>
      </c>
      <c r="G17" s="433"/>
      <c r="H17" s="436"/>
      <c r="I17" s="437">
        <f>IF(H17="",D17*F17,D17*F17*H17)</f>
        <v>0.155</v>
      </c>
      <c r="J17" s="294"/>
      <c r="K17" s="397"/>
      <c r="L17" s="397"/>
      <c r="M17" s="397"/>
      <c r="N17" s="397"/>
      <c r="O17" s="416"/>
    </row>
    <row r="18" spans="1:15" ht="6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ht="30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2.3040000000000001E-3</v>
      </c>
      <c r="G20" s="433"/>
      <c r="H20" s="436"/>
      <c r="I20" s="444">
        <f>F20*D20</f>
        <v>1.2096000000000001E-2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1.2620960000000001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B4" location="SU_A0200" display="Lower Front A-arm" xr:uid="{00000000-0004-0000-2300-000000000000}"/>
    <hyperlink ref="F2" location="SU_A0200_BOM" display="Back to BOM" xr:uid="{00000000-0004-0000-2300-000001000000}"/>
    <hyperlink ref="E3" location="dSU_02008" display="Drawing" xr:uid="{00000000-0004-0000-2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0" t="s">
        <v>229</v>
      </c>
    </row>
  </sheetData>
  <hyperlinks>
    <hyperlink ref="B1" location="SU_02008" display="SU_02008" xr:uid="{00000000-0004-0000-2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9" max="9" width="14.1406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1.4357435000000001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270" t="s">
        <v>105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216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1.4357435000000001</v>
      </c>
      <c r="O5" s="416"/>
    </row>
    <row r="6" spans="1:15" x14ac:dyDescent="0.25">
      <c r="A6" s="413" t="s">
        <v>7</v>
      </c>
      <c r="B6" s="419" t="s">
        <v>231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30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5.8717999999999999E-2</v>
      </c>
      <c r="F11" s="425" t="s">
        <v>141</v>
      </c>
      <c r="G11" s="425"/>
      <c r="H11" s="426"/>
      <c r="I11" s="427" t="s">
        <v>236</v>
      </c>
      <c r="J11" s="428">
        <f>0.068*0.022</f>
        <v>1.4959999999999999E-3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0.1321155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2.9919999999999999E-3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2.9919999999999999E-2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0.1620355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60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16.3</v>
      </c>
      <c r="G17" s="433"/>
      <c r="H17" s="436"/>
      <c r="I17" s="437">
        <f>IF(H17="",D17*F17,D17*F17*H17)</f>
        <v>0.16300000000000001</v>
      </c>
      <c r="J17" s="294"/>
      <c r="K17" s="397"/>
      <c r="L17" s="397"/>
      <c r="M17" s="397"/>
      <c r="N17" s="397"/>
      <c r="O17" s="416"/>
    </row>
    <row r="18" spans="1:15" ht="6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ht="30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2.9919999999999999E-3</v>
      </c>
      <c r="G20" s="433"/>
      <c r="H20" s="436"/>
      <c r="I20" s="444">
        <f>F20*D20</f>
        <v>1.5708E-2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1.2737080000000001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B4" location="SU_A0200" display="Lower Front A-arm" xr:uid="{00000000-0004-0000-2500-000000000000}"/>
    <hyperlink ref="F2" location="SU_A0200_BOM" display="Back to BOM" xr:uid="{00000000-0004-0000-2500-000001000000}"/>
    <hyperlink ref="E3" location="dSU_02009" display="Drawing" xr:uid="{00000000-0004-0000-25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" customWidth="1"/>
  </cols>
  <sheetData>
    <row r="1" spans="1:2" x14ac:dyDescent="0.25">
      <c r="A1" t="s">
        <v>124</v>
      </c>
      <c r="B1" s="270" t="s">
        <v>231</v>
      </c>
    </row>
  </sheetData>
  <hyperlinks>
    <hyperlink ref="B1" location="SU_02009" display="SU_02009" xr:uid="{00000000-0004-0000-26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66"/>
    <pageSetUpPr fitToPage="1"/>
  </sheetPr>
  <dimension ref="A1:B1"/>
  <sheetViews>
    <sheetView zoomScaleNormal="100" zoomScalePageLayoutView="70" workbookViewId="0"/>
  </sheetViews>
  <sheetFormatPr baseColWidth="10" defaultRowHeight="15" x14ac:dyDescent="0.25"/>
  <cols>
    <col min="1" max="1" width="14" customWidth="1"/>
  </cols>
  <sheetData>
    <row r="1" spans="1:2" x14ac:dyDescent="0.25">
      <c r="A1" t="s">
        <v>99</v>
      </c>
      <c r="B1" s="88" t="str">
        <f>SU_01001</f>
        <v>SU_01001</v>
      </c>
    </row>
  </sheetData>
  <hyperlinks>
    <hyperlink ref="B1" location="SU_01001" display="SU_01001" xr:uid="{00000000-0004-0000-0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140625" customWidth="1"/>
    <col min="7" max="7" width="16.140625" customWidth="1"/>
    <col min="9" max="9" width="13.425781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1.3315549999999998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270" t="s">
        <v>105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233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1.3315549999999998</v>
      </c>
      <c r="O5" s="416"/>
    </row>
    <row r="6" spans="1:15" x14ac:dyDescent="0.25">
      <c r="A6" s="413" t="s">
        <v>7</v>
      </c>
      <c r="B6" s="419" t="s">
        <v>232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29.45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3.4539999999999994E-2</v>
      </c>
      <c r="F11" s="425" t="s">
        <v>141</v>
      </c>
      <c r="G11" s="425"/>
      <c r="H11" s="426"/>
      <c r="I11" s="427" t="s">
        <v>237</v>
      </c>
      <c r="J11" s="428">
        <f>0.04*0.022</f>
        <v>8.7999999999999992E-4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7.7715000000000006E-2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1.7599999999999998E-3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1.7599999999999998E-2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9.5315000000000011E-2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43.9" customHeight="1" x14ac:dyDescent="0.25">
      <c r="A16" s="432">
        <v>10</v>
      </c>
      <c r="B16" s="433" t="s">
        <v>39</v>
      </c>
      <c r="C16" s="434" t="s">
        <v>238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13.2</v>
      </c>
      <c r="G17" s="433"/>
      <c r="H17" s="436"/>
      <c r="I17" s="437">
        <f>IF(H17="",D17*F17,D17*F17*H17)</f>
        <v>0.13200000000000001</v>
      </c>
      <c r="J17" s="294"/>
      <c r="K17" s="397"/>
      <c r="L17" s="397"/>
      <c r="M17" s="397"/>
      <c r="N17" s="397"/>
      <c r="O17" s="416"/>
    </row>
    <row r="18" spans="1:15" ht="28.15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ht="26.45" customHeight="1" x14ac:dyDescent="0.25">
      <c r="A20" s="432">
        <v>50</v>
      </c>
      <c r="B20" s="433" t="s">
        <v>162</v>
      </c>
      <c r="C20" s="553" t="s">
        <v>210</v>
      </c>
      <c r="D20" s="298">
        <v>5.25</v>
      </c>
      <c r="E20" s="433" t="s">
        <v>202</v>
      </c>
      <c r="F20" s="445">
        <f>2*J11</f>
        <v>1.7599999999999998E-3</v>
      </c>
      <c r="G20" s="433"/>
      <c r="H20" s="436"/>
      <c r="I20" s="444">
        <f>F20*D20</f>
        <v>9.2399999999999999E-3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1.2362399999999998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B4" location="SU_A0200" display="Lower Front A-arm" xr:uid="{00000000-0004-0000-2700-000000000000}"/>
    <hyperlink ref="F2" location="SU_A0200_BOM" display="Back to BOM" xr:uid="{00000000-0004-0000-2700-000001000000}"/>
    <hyperlink ref="E3" location="dSU_02010" display="Drawing" xr:uid="{00000000-0004-0000-2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232</v>
      </c>
    </row>
  </sheetData>
  <hyperlinks>
    <hyperlink ref="B1" location="SU_02010" display="SU_02010" xr:uid="{00000000-0004-0000-2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7" max="7" width="13.425781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1.41506025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376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270" t="s">
        <v>105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218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1.41506025</v>
      </c>
      <c r="O5" s="416"/>
    </row>
    <row r="6" spans="1:15" x14ac:dyDescent="0.25">
      <c r="A6" s="413" t="s">
        <v>7</v>
      </c>
      <c r="B6" s="419" t="s">
        <v>234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30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5.3537000000000001E-2</v>
      </c>
      <c r="F11" s="425" t="s">
        <v>141</v>
      </c>
      <c r="G11" s="425"/>
      <c r="H11" s="426"/>
      <c r="I11" s="427" t="s">
        <v>206</v>
      </c>
      <c r="J11" s="428">
        <f>0.062*0.022</f>
        <v>1.364E-3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0.12045825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2.728E-3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2.7279999999999999E-2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0.14773825000000002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60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15.8</v>
      </c>
      <c r="G17" s="433"/>
      <c r="H17" s="436"/>
      <c r="I17" s="437">
        <f>IF(H17="",D17*F17,D17*F17*H17)</f>
        <v>0.158</v>
      </c>
      <c r="J17" s="294"/>
      <c r="K17" s="397"/>
      <c r="L17" s="397"/>
      <c r="M17" s="397"/>
      <c r="N17" s="397"/>
      <c r="O17" s="416"/>
    </row>
    <row r="18" spans="1:15" ht="6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ht="30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2.728E-3</v>
      </c>
      <c r="G20" s="433"/>
      <c r="H20" s="436"/>
      <c r="I20" s="444">
        <f>F20*D20</f>
        <v>1.4322E-2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1.2673220000000001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B4" location="SU_A0200" display="Lower Front A-arm" xr:uid="{00000000-0004-0000-2900-000000000000}"/>
    <hyperlink ref="F2" location="SU_A0200_BOM" display="Back to BOM" xr:uid="{00000000-0004-0000-2900-000001000000}"/>
    <hyperlink ref="E3" location="dSU_01007" display="Drawing" xr:uid="{00000000-0004-0000-2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tabColor rgb="FFFFFF66"/>
    <pageSetUpPr fitToPage="1"/>
  </sheetPr>
  <dimension ref="A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1" x14ac:dyDescent="0.25">
      <c r="A1" t="s">
        <v>230</v>
      </c>
    </row>
  </sheetData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>
    <tabColor rgb="FFFFFF00"/>
    <pageSetUpPr fitToPage="1"/>
  </sheetPr>
  <dimension ref="A1:O64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47"/>
    <col min="2" max="2" width="57.140625" style="147" customWidth="1"/>
    <col min="3" max="3" width="55.7109375" style="147" customWidth="1"/>
    <col min="4" max="4" width="9.140625" style="147"/>
    <col min="5" max="5" width="9.5703125" style="147" customWidth="1"/>
    <col min="6" max="13" width="9.140625" style="147"/>
    <col min="14" max="14" width="11.5703125" style="147" customWidth="1"/>
    <col min="15" max="15" width="5.28515625" style="147" customWidth="1"/>
    <col min="16" max="16384" width="9.1406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48" t="s">
        <v>0</v>
      </c>
      <c r="B2" s="149" t="s">
        <v>37</v>
      </c>
      <c r="C2" s="150"/>
      <c r="D2" s="150"/>
      <c r="E2" s="87" t="s">
        <v>62</v>
      </c>
      <c r="F2" s="150"/>
      <c r="G2" s="150"/>
      <c r="H2" s="150"/>
      <c r="I2" s="150"/>
      <c r="J2" s="148" t="s">
        <v>1</v>
      </c>
      <c r="K2" s="151">
        <v>81</v>
      </c>
      <c r="L2" s="150"/>
      <c r="M2" s="148" t="s">
        <v>2</v>
      </c>
      <c r="N2" s="92">
        <f>SU_A0300_pa+SU_A0300_m+SU_A0300_p+SU_A0300_f</f>
        <v>76.389660206225173</v>
      </c>
      <c r="O2" s="152"/>
    </row>
    <row r="3" spans="1:15" x14ac:dyDescent="0.25">
      <c r="A3" s="148" t="s">
        <v>3</v>
      </c>
      <c r="B3" s="149" t="s">
        <v>63</v>
      </c>
      <c r="C3" s="150"/>
      <c r="D3" s="150"/>
      <c r="E3" s="150"/>
      <c r="F3" s="150"/>
      <c r="G3" s="150"/>
      <c r="H3" s="150"/>
      <c r="I3" s="150"/>
      <c r="J3" s="150"/>
      <c r="K3" s="150"/>
      <c r="L3" s="150"/>
      <c r="M3" s="148" t="s">
        <v>4</v>
      </c>
      <c r="N3" s="82">
        <v>2</v>
      </c>
      <c r="O3" s="152"/>
    </row>
    <row r="4" spans="1:15" x14ac:dyDescent="0.25">
      <c r="A4" s="148" t="s">
        <v>5</v>
      </c>
      <c r="B4" s="153" t="s">
        <v>126</v>
      </c>
      <c r="C4" s="150"/>
      <c r="D4" s="150"/>
      <c r="E4" s="150"/>
      <c r="F4" s="150"/>
      <c r="G4" s="150"/>
      <c r="H4" s="150"/>
      <c r="I4" s="150"/>
      <c r="J4" s="154" t="s">
        <v>6</v>
      </c>
      <c r="K4" s="150"/>
      <c r="L4" s="150"/>
      <c r="M4" s="150"/>
      <c r="N4" s="150"/>
      <c r="O4" s="152"/>
    </row>
    <row r="5" spans="1:15" x14ac:dyDescent="0.25">
      <c r="A5" s="148" t="s">
        <v>7</v>
      </c>
      <c r="B5" s="155" t="s">
        <v>127</v>
      </c>
      <c r="C5" s="150"/>
      <c r="D5" s="150"/>
      <c r="E5" s="150"/>
      <c r="F5" s="150"/>
      <c r="G5" s="150"/>
      <c r="H5" s="150"/>
      <c r="I5" s="150"/>
      <c r="J5" s="154" t="s">
        <v>8</v>
      </c>
      <c r="K5" s="150"/>
      <c r="L5" s="150"/>
      <c r="M5" s="148" t="s">
        <v>9</v>
      </c>
      <c r="N5" s="74">
        <f>N2*N3</f>
        <v>152.77932041245035</v>
      </c>
      <c r="O5" s="152"/>
    </row>
    <row r="6" spans="1:15" x14ac:dyDescent="0.25">
      <c r="A6" s="148" t="s">
        <v>10</v>
      </c>
      <c r="B6" s="149"/>
      <c r="C6" s="150"/>
      <c r="D6" s="150"/>
      <c r="E6" s="150"/>
      <c r="F6" s="150"/>
      <c r="G6" s="150"/>
      <c r="H6" s="150"/>
      <c r="I6" s="150"/>
      <c r="J6" s="154" t="s">
        <v>12</v>
      </c>
      <c r="K6" s="150"/>
      <c r="L6" s="150"/>
      <c r="M6" s="150"/>
      <c r="N6" s="150"/>
      <c r="O6" s="152"/>
    </row>
    <row r="7" spans="1:15" x14ac:dyDescent="0.25">
      <c r="A7" s="148" t="s">
        <v>13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56"/>
      <c r="B8" s="150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48" t="s">
        <v>14</v>
      </c>
      <c r="B9" s="148" t="s">
        <v>15</v>
      </c>
      <c r="C9" s="148" t="s">
        <v>16</v>
      </c>
      <c r="D9" s="148" t="s">
        <v>17</v>
      </c>
      <c r="E9" s="148" t="s">
        <v>18</v>
      </c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57">
        <v>10</v>
      </c>
      <c r="B10" s="86" t="str">
        <f>'SU 03001'!B5</f>
        <v>Upper Back Bearing Support</v>
      </c>
      <c r="C10" s="74">
        <f>'SU 03001'!N2</f>
        <v>16.4854905344</v>
      </c>
      <c r="D10" s="158">
        <f>SU_03001_q</f>
        <v>1</v>
      </c>
      <c r="E10" s="74">
        <f t="shared" ref="E10:E20" si="0">C10*D10</f>
        <v>16.4854905344</v>
      </c>
      <c r="F10" s="150"/>
      <c r="G10" s="150"/>
      <c r="H10" s="150"/>
      <c r="I10" s="150"/>
      <c r="J10" s="150"/>
      <c r="K10" s="150"/>
      <c r="L10" s="150"/>
      <c r="M10" s="150"/>
      <c r="N10" s="150"/>
      <c r="O10" s="152"/>
    </row>
    <row r="11" spans="1:15" x14ac:dyDescent="0.25">
      <c r="A11" s="157">
        <v>20</v>
      </c>
      <c r="B11" s="86" t="str">
        <f>'SU 03002'!B5</f>
        <v>Inner Bearing Support</v>
      </c>
      <c r="C11" s="74">
        <f>'SU 03002'!N2</f>
        <v>1.8728805440000003</v>
      </c>
      <c r="D11" s="158">
        <f>SU_03002_q</f>
        <v>2</v>
      </c>
      <c r="E11" s="74">
        <f t="shared" si="0"/>
        <v>3.7457610880000005</v>
      </c>
      <c r="F11" s="153"/>
      <c r="G11" s="153"/>
      <c r="H11" s="153"/>
      <c r="I11" s="153"/>
      <c r="J11" s="153"/>
      <c r="K11" s="153"/>
      <c r="L11" s="153"/>
      <c r="M11" s="153"/>
      <c r="N11" s="153"/>
      <c r="O11" s="152"/>
    </row>
    <row r="12" spans="1:15" x14ac:dyDescent="0.25">
      <c r="A12" s="157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58">
        <f>SU_03003_q</f>
        <v>1</v>
      </c>
      <c r="E12" s="74">
        <f t="shared" si="0"/>
        <v>10.876934879999999</v>
      </c>
      <c r="F12" s="153"/>
      <c r="G12" s="153"/>
      <c r="H12" s="153"/>
      <c r="I12" s="153"/>
      <c r="J12" s="153"/>
      <c r="K12" s="153"/>
      <c r="L12" s="153"/>
      <c r="M12" s="153"/>
      <c r="N12" s="153"/>
      <c r="O12" s="64"/>
    </row>
    <row r="13" spans="1:15" s="159" customFormat="1" x14ac:dyDescent="0.25">
      <c r="A13" s="157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58">
        <f>SU_03004_q</f>
        <v>1</v>
      </c>
      <c r="E13" s="74">
        <f t="shared" si="0"/>
        <v>4.3445228399999989</v>
      </c>
      <c r="F13" s="153"/>
      <c r="G13" s="153"/>
      <c r="H13" s="153"/>
      <c r="I13" s="153"/>
      <c r="J13" s="153"/>
      <c r="K13" s="153"/>
      <c r="L13" s="153"/>
      <c r="M13" s="153"/>
      <c r="N13" s="153"/>
      <c r="O13" s="64"/>
    </row>
    <row r="14" spans="1:15" s="159" customFormat="1" x14ac:dyDescent="0.25">
      <c r="A14" s="157">
        <v>50</v>
      </c>
      <c r="B14" s="86" t="str">
        <f>'SU 03005'!B5</f>
        <v>Spacer 1</v>
      </c>
      <c r="C14" s="74">
        <f>'SU 03005'!N2</f>
        <v>0.7197472800000001</v>
      </c>
      <c r="D14" s="158">
        <f>SU_03005_q</f>
        <v>2</v>
      </c>
      <c r="E14" s="74">
        <f t="shared" si="0"/>
        <v>1.4394945600000002</v>
      </c>
      <c r="F14" s="153"/>
      <c r="G14" s="153"/>
      <c r="H14" s="153"/>
      <c r="I14" s="153"/>
      <c r="J14" s="153"/>
      <c r="K14" s="153"/>
      <c r="L14" s="153"/>
      <c r="M14" s="153"/>
      <c r="N14" s="153"/>
      <c r="O14" s="160"/>
    </row>
    <row r="15" spans="1:15" s="159" customFormat="1" x14ac:dyDescent="0.25">
      <c r="A15" s="157">
        <v>60</v>
      </c>
      <c r="B15" s="86" t="str">
        <f>'SU 03006'!B5</f>
        <v>Spacer 2</v>
      </c>
      <c r="C15" s="74">
        <f>'SU 03006'!N2</f>
        <v>0.32421353411764708</v>
      </c>
      <c r="D15" s="158">
        <f>SU_03006_q</f>
        <v>4</v>
      </c>
      <c r="E15" s="74">
        <f t="shared" si="0"/>
        <v>1.2968541364705883</v>
      </c>
      <c r="F15" s="153"/>
      <c r="G15" s="153"/>
      <c r="H15" s="153"/>
      <c r="I15" s="153"/>
      <c r="J15" s="153"/>
      <c r="K15" s="153"/>
      <c r="L15" s="153"/>
      <c r="M15" s="153"/>
      <c r="N15" s="153"/>
      <c r="O15" s="160"/>
    </row>
    <row r="16" spans="1:15" s="159" customFormat="1" x14ac:dyDescent="0.25">
      <c r="A16" s="157">
        <v>70</v>
      </c>
      <c r="B16" s="86" t="str">
        <f>'SU 03007'!B5</f>
        <v>Outboard A-arm Insert</v>
      </c>
      <c r="C16" s="74">
        <f>'SU 03007'!N2</f>
        <v>0.47719727680000001</v>
      </c>
      <c r="D16" s="158">
        <f>SU_03007_q</f>
        <v>2</v>
      </c>
      <c r="E16" s="74">
        <f t="shared" si="0"/>
        <v>0.95439455360000003</v>
      </c>
      <c r="F16" s="153"/>
      <c r="G16" s="153"/>
      <c r="H16" s="153"/>
      <c r="I16" s="153"/>
      <c r="J16" s="153"/>
      <c r="K16" s="153"/>
      <c r="L16" s="153"/>
      <c r="M16" s="153"/>
      <c r="N16" s="153"/>
      <c r="O16" s="160"/>
    </row>
    <row r="17" spans="1:15" s="17" customFormat="1" x14ac:dyDescent="0.25">
      <c r="A17" s="476">
        <v>80</v>
      </c>
      <c r="B17" s="554" t="str">
        <f>'SU 03008'!B5</f>
        <v>Front up bracket</v>
      </c>
      <c r="C17" s="482">
        <f>'SU 03008'!N2</f>
        <v>1.4969516249999999</v>
      </c>
      <c r="D17" s="466">
        <f>SU_03008_q</f>
        <v>1</v>
      </c>
      <c r="E17" s="482">
        <f t="shared" si="0"/>
        <v>1.4969516249999999</v>
      </c>
      <c r="F17" s="335"/>
      <c r="G17" s="335"/>
      <c r="H17" s="335"/>
      <c r="I17" s="335"/>
      <c r="J17" s="335"/>
      <c r="K17" s="335"/>
      <c r="L17" s="335"/>
      <c r="M17" s="335"/>
      <c r="N17" s="335"/>
      <c r="O17" s="340"/>
    </row>
    <row r="18" spans="1:15" s="17" customFormat="1" x14ac:dyDescent="0.25">
      <c r="A18" s="476">
        <v>90</v>
      </c>
      <c r="B18" s="554" t="str">
        <f>'SU 03009'!B5</f>
        <v>Front down bracket</v>
      </c>
      <c r="C18" s="482">
        <f>'SU 03009'!N2</f>
        <v>1.49211</v>
      </c>
      <c r="D18" s="466">
        <f>SU_03009_q</f>
        <v>1</v>
      </c>
      <c r="E18" s="482">
        <f t="shared" si="0"/>
        <v>1.49211</v>
      </c>
      <c r="F18" s="335"/>
      <c r="G18" s="335"/>
      <c r="H18" s="335"/>
      <c r="I18" s="335"/>
      <c r="J18" s="335"/>
      <c r="K18" s="335"/>
      <c r="L18" s="335"/>
      <c r="M18" s="335"/>
      <c r="N18" s="335"/>
      <c r="O18" s="340"/>
    </row>
    <row r="19" spans="1:15" s="17" customFormat="1" x14ac:dyDescent="0.25">
      <c r="A19" s="476">
        <v>100</v>
      </c>
      <c r="B19" s="554" t="str">
        <f>'SU 03010'!B5</f>
        <v>Rear up bracket</v>
      </c>
      <c r="C19" s="482">
        <f>'SU 03010'!N2</f>
        <v>1.2680301249999999</v>
      </c>
      <c r="D19" s="466">
        <f>SU_03010_q</f>
        <v>1</v>
      </c>
      <c r="E19" s="482">
        <f t="shared" si="0"/>
        <v>1.2680301249999999</v>
      </c>
      <c r="F19" s="335"/>
      <c r="G19" s="335"/>
      <c r="H19" s="335"/>
      <c r="I19" s="335"/>
      <c r="J19" s="335"/>
      <c r="K19" s="335"/>
      <c r="L19" s="335"/>
      <c r="M19" s="335"/>
      <c r="N19" s="335"/>
      <c r="O19" s="340"/>
    </row>
    <row r="20" spans="1:15" s="17" customFormat="1" x14ac:dyDescent="0.25">
      <c r="A20" s="476">
        <v>110</v>
      </c>
      <c r="B20" s="554" t="str">
        <f>'SU 03011'!B5</f>
        <v>Rear down bracket</v>
      </c>
      <c r="C20" s="482">
        <f>'SU 03011'!N2</f>
        <v>1.3787631249999999</v>
      </c>
      <c r="D20" s="466">
        <f>SU_03011_q</f>
        <v>1</v>
      </c>
      <c r="E20" s="482">
        <f t="shared" si="0"/>
        <v>1.3787631249999999</v>
      </c>
      <c r="F20" s="335"/>
      <c r="G20" s="335"/>
      <c r="H20" s="335"/>
      <c r="I20" s="335"/>
      <c r="J20" s="335"/>
      <c r="K20" s="335"/>
      <c r="L20" s="335"/>
      <c r="M20" s="335"/>
      <c r="N20" s="335"/>
      <c r="O20" s="340"/>
    </row>
    <row r="21" spans="1:15" x14ac:dyDescent="0.25">
      <c r="A21" s="156"/>
      <c r="B21" s="150"/>
      <c r="C21" s="150"/>
      <c r="D21" s="161" t="s">
        <v>18</v>
      </c>
      <c r="E21" s="162">
        <f>SUM(E10:E16)</f>
        <v>39.143452592470581</v>
      </c>
      <c r="F21" s="153"/>
      <c r="G21" s="153"/>
      <c r="H21" s="153"/>
      <c r="I21" s="153"/>
      <c r="J21" s="153"/>
      <c r="K21" s="153"/>
      <c r="L21" s="153"/>
      <c r="M21" s="153"/>
      <c r="N21" s="153"/>
      <c r="O21" s="152"/>
    </row>
    <row r="22" spans="1:15" x14ac:dyDescent="0.25">
      <c r="A22" s="156"/>
      <c r="B22" s="150"/>
      <c r="C22" s="150"/>
      <c r="D22" s="150"/>
      <c r="E22" s="150"/>
      <c r="F22" s="150"/>
      <c r="G22" s="150"/>
      <c r="H22" s="150"/>
      <c r="I22" s="150"/>
      <c r="J22" s="150"/>
      <c r="K22" s="150"/>
      <c r="L22" s="150"/>
      <c r="M22" s="150"/>
      <c r="N22" s="150"/>
      <c r="O22" s="152"/>
    </row>
    <row r="23" spans="1:15" x14ac:dyDescent="0.25">
      <c r="A23" s="148" t="s">
        <v>14</v>
      </c>
      <c r="B23" s="148" t="s">
        <v>19</v>
      </c>
      <c r="C23" s="148" t="s">
        <v>20</v>
      </c>
      <c r="D23" s="148" t="s">
        <v>21</v>
      </c>
      <c r="E23" s="148" t="s">
        <v>22</v>
      </c>
      <c r="F23" s="148" t="s">
        <v>23</v>
      </c>
      <c r="G23" s="148" t="s">
        <v>24</v>
      </c>
      <c r="H23" s="148" t="s">
        <v>25</v>
      </c>
      <c r="I23" s="148" t="s">
        <v>26</v>
      </c>
      <c r="J23" s="148" t="s">
        <v>27</v>
      </c>
      <c r="K23" s="148" t="s">
        <v>28</v>
      </c>
      <c r="L23" s="148" t="s">
        <v>29</v>
      </c>
      <c r="M23" s="148" t="s">
        <v>17</v>
      </c>
      <c r="N23" s="148" t="s">
        <v>18</v>
      </c>
      <c r="O23" s="152"/>
    </row>
    <row r="24" spans="1:15" ht="14.45" customHeight="1" x14ac:dyDescent="0.25">
      <c r="A24" s="157">
        <v>10</v>
      </c>
      <c r="B24" s="157" t="s">
        <v>65</v>
      </c>
      <c r="C24" s="157"/>
      <c r="D24" s="124">
        <f>0.03*E24^2+5</f>
        <v>6.92</v>
      </c>
      <c r="E24" s="157">
        <v>8</v>
      </c>
      <c r="F24" s="157" t="s">
        <v>30</v>
      </c>
      <c r="G24" s="157"/>
      <c r="H24" s="75"/>
      <c r="I24" s="163"/>
      <c r="J24" s="77"/>
      <c r="K24" s="75"/>
      <c r="L24" s="75"/>
      <c r="M24" s="81">
        <v>3</v>
      </c>
      <c r="N24" s="74">
        <f>M24*D24</f>
        <v>20.759999999999998</v>
      </c>
      <c r="O24" s="152"/>
    </row>
    <row r="25" spans="1:15" s="170" customFormat="1" ht="14.45" customHeight="1" x14ac:dyDescent="0.25">
      <c r="A25" s="157">
        <v>20</v>
      </c>
      <c r="B25" s="164" t="s">
        <v>70</v>
      </c>
      <c r="C25" s="165" t="s">
        <v>71</v>
      </c>
      <c r="D25" s="74"/>
      <c r="E25" s="166"/>
      <c r="F25" s="166"/>
      <c r="G25" s="166"/>
      <c r="H25" s="75"/>
      <c r="I25" s="167"/>
      <c r="J25" s="94"/>
      <c r="K25" s="78"/>
      <c r="L25" s="168"/>
      <c r="M25" s="80"/>
      <c r="N25" s="74">
        <f>M25*D25</f>
        <v>0</v>
      </c>
      <c r="O25" s="169"/>
    </row>
    <row r="26" spans="1:15" ht="14.45" customHeight="1" x14ac:dyDescent="0.25">
      <c r="A26" s="157">
        <v>30</v>
      </c>
      <c r="B26" s="164" t="s">
        <v>70</v>
      </c>
      <c r="C26" s="165" t="s">
        <v>72</v>
      </c>
      <c r="D26" s="74"/>
      <c r="E26" s="157"/>
      <c r="F26" s="157"/>
      <c r="G26" s="157"/>
      <c r="H26" s="75"/>
      <c r="I26" s="80"/>
      <c r="J26" s="81"/>
      <c r="K26" s="75"/>
      <c r="L26" s="168"/>
      <c r="M26" s="75"/>
      <c r="N26" s="74">
        <f>M26*D26</f>
        <v>0</v>
      </c>
      <c r="O26" s="152"/>
    </row>
    <row r="27" spans="1:15" x14ac:dyDescent="0.25">
      <c r="A27" s="171"/>
      <c r="B27" s="172"/>
      <c r="C27" s="172"/>
      <c r="D27" s="172"/>
      <c r="E27" s="172"/>
      <c r="F27" s="172"/>
      <c r="G27" s="172"/>
      <c r="H27" s="172"/>
      <c r="I27" s="172"/>
      <c r="J27" s="172"/>
      <c r="K27" s="172"/>
      <c r="L27" s="172"/>
      <c r="M27" s="148" t="s">
        <v>18</v>
      </c>
      <c r="N27" s="162">
        <f>SUM(N24:N26)</f>
        <v>20.759999999999998</v>
      </c>
      <c r="O27" s="152"/>
    </row>
    <row r="28" spans="1:15" x14ac:dyDescent="0.25">
      <c r="A28" s="156"/>
      <c r="B28" s="150"/>
      <c r="C28" s="150"/>
      <c r="D28" s="150"/>
      <c r="E28" s="150"/>
      <c r="F28" s="150"/>
      <c r="G28" s="150"/>
      <c r="H28" s="150"/>
      <c r="I28" s="150"/>
      <c r="J28" s="150"/>
      <c r="K28" s="150"/>
      <c r="L28" s="150"/>
      <c r="M28" s="150"/>
      <c r="N28" s="150"/>
      <c r="O28" s="152"/>
    </row>
    <row r="29" spans="1:15" s="174" customFormat="1" x14ac:dyDescent="0.25">
      <c r="A29" s="148" t="s">
        <v>14</v>
      </c>
      <c r="B29" s="148" t="s">
        <v>31</v>
      </c>
      <c r="C29" s="148" t="s">
        <v>20</v>
      </c>
      <c r="D29" s="148" t="s">
        <v>21</v>
      </c>
      <c r="E29" s="148" t="s">
        <v>32</v>
      </c>
      <c r="F29" s="148" t="s">
        <v>17</v>
      </c>
      <c r="G29" s="148" t="s">
        <v>33</v>
      </c>
      <c r="H29" s="148" t="s">
        <v>34</v>
      </c>
      <c r="I29" s="148" t="s">
        <v>18</v>
      </c>
      <c r="J29" s="172"/>
      <c r="K29" s="172"/>
      <c r="L29" s="172"/>
      <c r="M29" s="172"/>
      <c r="N29" s="172"/>
      <c r="O29" s="173"/>
    </row>
    <row r="30" spans="1:15" s="176" customFormat="1" x14ac:dyDescent="0.25">
      <c r="A30" s="216">
        <v>10</v>
      </c>
      <c r="B30" s="271" t="s">
        <v>76</v>
      </c>
      <c r="C30" s="217" t="s">
        <v>169</v>
      </c>
      <c r="D30" s="268">
        <v>0.02</v>
      </c>
      <c r="E30" s="216" t="s">
        <v>74</v>
      </c>
      <c r="F30" s="227">
        <v>8.66</v>
      </c>
      <c r="G30" s="227" t="s">
        <v>153</v>
      </c>
      <c r="H30" s="227">
        <v>2</v>
      </c>
      <c r="I30" s="268">
        <f t="shared" ref="I30:I51" si="1">IF(H30="",D30*F30,D30*F30*H30)</f>
        <v>0.34639999999999999</v>
      </c>
      <c r="J30" s="218"/>
      <c r="K30" s="218"/>
      <c r="L30" s="218"/>
      <c r="M30" s="218"/>
      <c r="N30" s="218"/>
      <c r="O30" s="219"/>
    </row>
    <row r="31" spans="1:15" s="176" customFormat="1" x14ac:dyDescent="0.25">
      <c r="A31" s="216">
        <v>20</v>
      </c>
      <c r="B31" s="271" t="s">
        <v>73</v>
      </c>
      <c r="C31" s="217" t="s">
        <v>170</v>
      </c>
      <c r="D31" s="268">
        <v>0.02</v>
      </c>
      <c r="E31" s="216" t="s">
        <v>74</v>
      </c>
      <c r="F31" s="227">
        <v>8.66</v>
      </c>
      <c r="G31" s="227" t="s">
        <v>153</v>
      </c>
      <c r="H31" s="227">
        <v>2</v>
      </c>
      <c r="I31" s="268">
        <f t="shared" si="1"/>
        <v>0.34639999999999999</v>
      </c>
      <c r="J31" s="220"/>
      <c r="K31" s="220"/>
      <c r="L31" s="220"/>
      <c r="M31" s="220"/>
      <c r="N31" s="220"/>
      <c r="O31" s="221"/>
    </row>
    <row r="32" spans="1:15" s="176" customFormat="1" x14ac:dyDescent="0.25">
      <c r="A32" s="216">
        <v>30</v>
      </c>
      <c r="B32" s="271" t="s">
        <v>76</v>
      </c>
      <c r="C32" s="217" t="s">
        <v>172</v>
      </c>
      <c r="D32" s="268">
        <v>0.02</v>
      </c>
      <c r="E32" s="216" t="s">
        <v>74</v>
      </c>
      <c r="F32" s="227">
        <v>8.66</v>
      </c>
      <c r="G32" s="227" t="s">
        <v>153</v>
      </c>
      <c r="H32" s="227">
        <v>2</v>
      </c>
      <c r="I32" s="268">
        <f t="shared" si="1"/>
        <v>0.34639999999999999</v>
      </c>
      <c r="J32" s="218"/>
      <c r="K32" s="218"/>
      <c r="L32" s="218"/>
      <c r="M32" s="218"/>
      <c r="N32" s="218"/>
      <c r="O32" s="219"/>
    </row>
    <row r="33" spans="1:15" s="176" customFormat="1" x14ac:dyDescent="0.25">
      <c r="A33" s="216">
        <v>40</v>
      </c>
      <c r="B33" s="271" t="s">
        <v>154</v>
      </c>
      <c r="C33" s="222" t="s">
        <v>174</v>
      </c>
      <c r="D33" s="268">
        <v>0.06</v>
      </c>
      <c r="E33" s="271" t="s">
        <v>32</v>
      </c>
      <c r="F33" s="227">
        <v>1</v>
      </c>
      <c r="G33" s="227" t="s">
        <v>153</v>
      </c>
      <c r="H33" s="227">
        <v>2</v>
      </c>
      <c r="I33" s="268">
        <f t="shared" si="1"/>
        <v>0.12</v>
      </c>
      <c r="J33" s="220"/>
      <c r="K33" s="220"/>
      <c r="L33" s="220"/>
      <c r="M33" s="220"/>
      <c r="N33" s="220"/>
      <c r="O33" s="221"/>
    </row>
    <row r="34" spans="1:15" s="176" customFormat="1" x14ac:dyDescent="0.25">
      <c r="A34" s="216">
        <v>50</v>
      </c>
      <c r="B34" s="271" t="s">
        <v>76</v>
      </c>
      <c r="C34" s="217" t="s">
        <v>175</v>
      </c>
      <c r="D34" s="268">
        <v>0.02</v>
      </c>
      <c r="E34" s="216" t="s">
        <v>74</v>
      </c>
      <c r="F34" s="227">
        <v>12.43</v>
      </c>
      <c r="G34" s="227" t="s">
        <v>153</v>
      </c>
      <c r="H34" s="227">
        <v>2</v>
      </c>
      <c r="I34" s="268">
        <f t="shared" si="1"/>
        <v>0.49719999999999998</v>
      </c>
      <c r="J34" s="218"/>
      <c r="K34" s="218"/>
      <c r="L34" s="218"/>
      <c r="M34" s="218"/>
      <c r="N34" s="218"/>
      <c r="O34" s="219"/>
    </row>
    <row r="35" spans="1:15" s="176" customFormat="1" x14ac:dyDescent="0.25">
      <c r="A35" s="216">
        <v>60</v>
      </c>
      <c r="B35" s="271" t="s">
        <v>73</v>
      </c>
      <c r="C35" s="217" t="s">
        <v>176</v>
      </c>
      <c r="D35" s="268">
        <v>0.02</v>
      </c>
      <c r="E35" s="216" t="s">
        <v>74</v>
      </c>
      <c r="F35" s="227">
        <v>12.43</v>
      </c>
      <c r="G35" s="227" t="s">
        <v>153</v>
      </c>
      <c r="H35" s="227">
        <v>2</v>
      </c>
      <c r="I35" s="268">
        <f t="shared" si="1"/>
        <v>0.49719999999999998</v>
      </c>
      <c r="J35" s="220"/>
      <c r="K35" s="220"/>
      <c r="L35" s="220"/>
      <c r="M35" s="220"/>
      <c r="N35" s="220"/>
      <c r="O35" s="221"/>
    </row>
    <row r="36" spans="1:15" s="176" customFormat="1" x14ac:dyDescent="0.25">
      <c r="A36" s="216">
        <v>70</v>
      </c>
      <c r="B36" s="271" t="s">
        <v>76</v>
      </c>
      <c r="C36" s="217" t="s">
        <v>155</v>
      </c>
      <c r="D36" s="268">
        <v>0.02</v>
      </c>
      <c r="E36" s="216" t="s">
        <v>74</v>
      </c>
      <c r="F36" s="227">
        <v>12.43</v>
      </c>
      <c r="G36" s="227" t="s">
        <v>153</v>
      </c>
      <c r="H36" s="227">
        <v>2</v>
      </c>
      <c r="I36" s="268">
        <f t="shared" si="1"/>
        <v>0.49719999999999998</v>
      </c>
      <c r="J36" s="218"/>
      <c r="K36" s="218"/>
      <c r="L36" s="218"/>
      <c r="M36" s="218"/>
      <c r="N36" s="218"/>
      <c r="O36" s="219"/>
    </row>
    <row r="37" spans="1:15" s="176" customFormat="1" x14ac:dyDescent="0.25">
      <c r="A37" s="216">
        <v>80</v>
      </c>
      <c r="B37" s="271" t="s">
        <v>154</v>
      </c>
      <c r="C37" s="222" t="s">
        <v>177</v>
      </c>
      <c r="D37" s="268">
        <v>0.14000000000000001</v>
      </c>
      <c r="E37" s="271" t="s">
        <v>32</v>
      </c>
      <c r="F37" s="227">
        <v>1</v>
      </c>
      <c r="G37" s="227" t="s">
        <v>153</v>
      </c>
      <c r="H37" s="227">
        <v>2</v>
      </c>
      <c r="I37" s="268">
        <f t="shared" si="1"/>
        <v>0.28000000000000003</v>
      </c>
      <c r="J37" s="223"/>
      <c r="K37" s="223"/>
      <c r="L37" s="223"/>
      <c r="M37" s="223"/>
      <c r="N37" s="223"/>
      <c r="O37" s="224"/>
    </row>
    <row r="38" spans="1:15" s="176" customFormat="1" x14ac:dyDescent="0.25">
      <c r="A38" s="216">
        <v>90</v>
      </c>
      <c r="B38" s="271" t="s">
        <v>76</v>
      </c>
      <c r="C38" s="217" t="s">
        <v>171</v>
      </c>
      <c r="D38" s="268">
        <v>0.02</v>
      </c>
      <c r="E38" s="216" t="s">
        <v>74</v>
      </c>
      <c r="F38" s="227">
        <v>12.43</v>
      </c>
      <c r="G38" s="227" t="s">
        <v>153</v>
      </c>
      <c r="H38" s="227">
        <v>2</v>
      </c>
      <c r="I38" s="268">
        <f t="shared" si="1"/>
        <v>0.49719999999999998</v>
      </c>
      <c r="J38" s="218"/>
      <c r="K38" s="218"/>
      <c r="L38" s="218"/>
      <c r="M38" s="218"/>
      <c r="N38" s="218"/>
      <c r="O38" s="219"/>
    </row>
    <row r="39" spans="1:15" s="176" customFormat="1" x14ac:dyDescent="0.25">
      <c r="A39" s="216">
        <v>100</v>
      </c>
      <c r="B39" s="271" t="s">
        <v>73</v>
      </c>
      <c r="C39" s="217" t="s">
        <v>173</v>
      </c>
      <c r="D39" s="268">
        <v>0.18</v>
      </c>
      <c r="E39" s="216" t="s">
        <v>74</v>
      </c>
      <c r="F39" s="227">
        <v>12.43</v>
      </c>
      <c r="G39" s="227" t="s">
        <v>153</v>
      </c>
      <c r="H39" s="227">
        <v>2</v>
      </c>
      <c r="I39" s="268">
        <f t="shared" si="1"/>
        <v>4.4748000000000001</v>
      </c>
      <c r="J39" s="223"/>
      <c r="K39" s="223"/>
      <c r="L39" s="223"/>
      <c r="M39" s="223"/>
      <c r="N39" s="223"/>
      <c r="O39" s="219"/>
    </row>
    <row r="40" spans="1:15" s="176" customFormat="1" x14ac:dyDescent="0.25">
      <c r="A40" s="216">
        <v>110</v>
      </c>
      <c r="B40" s="271" t="s">
        <v>76</v>
      </c>
      <c r="C40" s="217" t="s">
        <v>155</v>
      </c>
      <c r="D40" s="268">
        <v>0.02</v>
      </c>
      <c r="E40" s="216" t="s">
        <v>74</v>
      </c>
      <c r="F40" s="227">
        <v>12.43</v>
      </c>
      <c r="G40" s="227" t="s">
        <v>153</v>
      </c>
      <c r="H40" s="227">
        <v>2</v>
      </c>
      <c r="I40" s="268">
        <f t="shared" si="1"/>
        <v>0.49719999999999998</v>
      </c>
      <c r="J40" s="218"/>
      <c r="K40" s="218"/>
      <c r="L40" s="218"/>
      <c r="M40" s="218"/>
      <c r="N40" s="218"/>
      <c r="O40" s="219"/>
    </row>
    <row r="41" spans="1:15" s="176" customFormat="1" ht="30" x14ac:dyDescent="0.25">
      <c r="A41" s="216">
        <v>120</v>
      </c>
      <c r="B41" s="271" t="s">
        <v>154</v>
      </c>
      <c r="C41" s="222" t="s">
        <v>178</v>
      </c>
      <c r="D41" s="268">
        <v>0.22</v>
      </c>
      <c r="E41" s="271" t="s">
        <v>32</v>
      </c>
      <c r="F41" s="227">
        <v>1</v>
      </c>
      <c r="G41" s="227" t="s">
        <v>153</v>
      </c>
      <c r="H41" s="227">
        <v>2</v>
      </c>
      <c r="I41" s="268">
        <f t="shared" si="1"/>
        <v>0.44</v>
      </c>
      <c r="J41" s="223"/>
      <c r="K41" s="223"/>
      <c r="L41" s="223"/>
      <c r="M41" s="223"/>
      <c r="N41" s="223"/>
      <c r="O41" s="219"/>
    </row>
    <row r="42" spans="1:15" s="176" customFormat="1" x14ac:dyDescent="0.25">
      <c r="A42" s="216">
        <v>130</v>
      </c>
      <c r="B42" s="271" t="s">
        <v>76</v>
      </c>
      <c r="C42" s="217" t="s">
        <v>156</v>
      </c>
      <c r="D42" s="268">
        <v>0.02</v>
      </c>
      <c r="E42" s="216" t="s">
        <v>74</v>
      </c>
      <c r="F42" s="227">
        <v>4.01</v>
      </c>
      <c r="G42" s="227" t="s">
        <v>157</v>
      </c>
      <c r="H42" s="227">
        <v>3</v>
      </c>
      <c r="I42" s="268">
        <f t="shared" si="1"/>
        <v>0.24059999999999998</v>
      </c>
      <c r="J42" s="218"/>
      <c r="K42" s="218"/>
      <c r="L42" s="218"/>
      <c r="M42" s="218"/>
      <c r="N42" s="218"/>
      <c r="O42" s="219"/>
    </row>
    <row r="43" spans="1:15" s="176" customFormat="1" x14ac:dyDescent="0.25">
      <c r="A43" s="216">
        <v>140</v>
      </c>
      <c r="B43" s="225" t="s">
        <v>73</v>
      </c>
      <c r="C43" s="217" t="s">
        <v>158</v>
      </c>
      <c r="D43" s="268">
        <v>0.02</v>
      </c>
      <c r="E43" s="216" t="s">
        <v>74</v>
      </c>
      <c r="F43" s="227">
        <v>4.01</v>
      </c>
      <c r="G43" s="227" t="s">
        <v>157</v>
      </c>
      <c r="H43" s="227">
        <v>3</v>
      </c>
      <c r="I43" s="268">
        <f t="shared" si="1"/>
        <v>0.24059999999999998</v>
      </c>
      <c r="J43" s="223"/>
      <c r="K43" s="223"/>
      <c r="L43" s="223"/>
      <c r="M43" s="223"/>
      <c r="N43" s="223"/>
      <c r="O43" s="219"/>
    </row>
    <row r="44" spans="1:15" s="176" customFormat="1" x14ac:dyDescent="0.25">
      <c r="A44" s="216">
        <v>150</v>
      </c>
      <c r="B44" s="271" t="s">
        <v>154</v>
      </c>
      <c r="C44" s="217" t="s">
        <v>159</v>
      </c>
      <c r="D44" s="268">
        <v>0.3</v>
      </c>
      <c r="E44" s="271" t="s">
        <v>32</v>
      </c>
      <c r="F44" s="227">
        <v>1</v>
      </c>
      <c r="G44" s="227" t="s">
        <v>157</v>
      </c>
      <c r="H44" s="227">
        <v>3</v>
      </c>
      <c r="I44" s="268">
        <f t="shared" si="1"/>
        <v>0.89999999999999991</v>
      </c>
      <c r="J44" s="223"/>
      <c r="K44" s="223"/>
      <c r="L44" s="223"/>
      <c r="M44" s="223"/>
      <c r="N44" s="223"/>
      <c r="O44" s="219"/>
    </row>
    <row r="45" spans="1:15" s="176" customFormat="1" x14ac:dyDescent="0.25">
      <c r="A45" s="216">
        <v>160</v>
      </c>
      <c r="B45" s="216" t="s">
        <v>160</v>
      </c>
      <c r="C45" s="217" t="s">
        <v>161</v>
      </c>
      <c r="D45" s="268">
        <v>0.15</v>
      </c>
      <c r="E45" s="216" t="s">
        <v>74</v>
      </c>
      <c r="F45" s="227">
        <v>22</v>
      </c>
      <c r="G45" s="227"/>
      <c r="H45" s="211"/>
      <c r="I45" s="268">
        <f t="shared" si="1"/>
        <v>3.3</v>
      </c>
      <c r="J45" s="223"/>
      <c r="K45" s="223"/>
      <c r="L45" s="223"/>
      <c r="M45" s="223"/>
      <c r="N45" s="223"/>
      <c r="O45" s="219"/>
    </row>
    <row r="46" spans="1:15" s="176" customFormat="1" x14ac:dyDescent="0.25">
      <c r="A46" s="216">
        <v>170</v>
      </c>
      <c r="B46" s="271" t="s">
        <v>162</v>
      </c>
      <c r="C46" s="222" t="s">
        <v>163</v>
      </c>
      <c r="D46" s="268">
        <v>5.25</v>
      </c>
      <c r="E46" s="271" t="s">
        <v>77</v>
      </c>
      <c r="F46" s="227">
        <v>0.01</v>
      </c>
      <c r="G46" s="227"/>
      <c r="H46" s="211"/>
      <c r="I46" s="268">
        <f t="shared" si="1"/>
        <v>5.2499999999999998E-2</v>
      </c>
      <c r="J46" s="223"/>
      <c r="K46" s="223"/>
      <c r="L46" s="223"/>
      <c r="M46" s="226"/>
      <c r="N46" s="223"/>
      <c r="O46" s="219"/>
    </row>
    <row r="47" spans="1:15" s="176" customFormat="1" x14ac:dyDescent="0.25">
      <c r="A47" s="216">
        <v>180</v>
      </c>
      <c r="B47" s="216" t="s">
        <v>154</v>
      </c>
      <c r="C47" s="217" t="s">
        <v>164</v>
      </c>
      <c r="D47" s="268">
        <v>0.14000000000000001</v>
      </c>
      <c r="E47" s="216" t="s">
        <v>32</v>
      </c>
      <c r="F47" s="227">
        <v>1</v>
      </c>
      <c r="G47" s="227"/>
      <c r="H47" s="211"/>
      <c r="I47" s="268">
        <f t="shared" si="1"/>
        <v>0.14000000000000001</v>
      </c>
      <c r="J47" s="223"/>
      <c r="K47" s="223"/>
      <c r="L47" s="223"/>
      <c r="M47" s="223"/>
      <c r="N47" s="223"/>
      <c r="O47" s="219"/>
    </row>
    <row r="48" spans="1:15" s="176" customFormat="1" x14ac:dyDescent="0.25">
      <c r="A48" s="216">
        <v>190</v>
      </c>
      <c r="B48" s="271" t="s">
        <v>75</v>
      </c>
      <c r="C48" s="222" t="s">
        <v>165</v>
      </c>
      <c r="D48" s="268">
        <v>0.13</v>
      </c>
      <c r="E48" s="271" t="s">
        <v>32</v>
      </c>
      <c r="F48" s="227">
        <v>4</v>
      </c>
      <c r="G48" s="227"/>
      <c r="H48" s="211"/>
      <c r="I48" s="268">
        <f t="shared" si="1"/>
        <v>0.52</v>
      </c>
      <c r="J48" s="223"/>
      <c r="K48" s="223"/>
      <c r="L48" s="223"/>
      <c r="M48" s="223"/>
      <c r="N48" s="223"/>
      <c r="O48" s="219"/>
    </row>
    <row r="49" spans="1:15" s="176" customFormat="1" x14ac:dyDescent="0.25">
      <c r="A49" s="216">
        <v>200</v>
      </c>
      <c r="B49" s="271" t="s">
        <v>75</v>
      </c>
      <c r="C49" s="222" t="s">
        <v>166</v>
      </c>
      <c r="D49" s="268">
        <v>0.13</v>
      </c>
      <c r="E49" s="271" t="s">
        <v>32</v>
      </c>
      <c r="F49" s="227">
        <v>8</v>
      </c>
      <c r="G49" s="227"/>
      <c r="H49" s="211"/>
      <c r="I49" s="268">
        <f t="shared" si="1"/>
        <v>1.04</v>
      </c>
      <c r="J49" s="223"/>
      <c r="K49" s="223"/>
      <c r="L49" s="223"/>
      <c r="M49" s="223"/>
      <c r="N49" s="223"/>
      <c r="O49" s="219"/>
    </row>
    <row r="50" spans="1:15" s="176" customFormat="1" x14ac:dyDescent="0.25">
      <c r="A50" s="216">
        <v>210</v>
      </c>
      <c r="B50" s="216" t="s">
        <v>78</v>
      </c>
      <c r="C50" s="217" t="s">
        <v>167</v>
      </c>
      <c r="D50" s="268">
        <v>0.13</v>
      </c>
      <c r="E50" s="216" t="s">
        <v>32</v>
      </c>
      <c r="F50" s="227">
        <v>2</v>
      </c>
      <c r="G50" s="227"/>
      <c r="H50" s="211"/>
      <c r="I50" s="268">
        <f t="shared" si="1"/>
        <v>0.26</v>
      </c>
      <c r="J50" s="223"/>
      <c r="K50" s="223"/>
      <c r="L50" s="223"/>
      <c r="M50" s="223"/>
      <c r="N50" s="223"/>
      <c r="O50" s="219"/>
    </row>
    <row r="51" spans="1:15" s="176" customFormat="1" x14ac:dyDescent="0.25">
      <c r="A51" s="216">
        <v>220</v>
      </c>
      <c r="B51" s="271" t="s">
        <v>79</v>
      </c>
      <c r="C51" s="222" t="s">
        <v>168</v>
      </c>
      <c r="D51" s="268">
        <v>0.25</v>
      </c>
      <c r="E51" s="271" t="s">
        <v>32</v>
      </c>
      <c r="F51" s="227">
        <v>2</v>
      </c>
      <c r="G51" s="227"/>
      <c r="H51" s="211"/>
      <c r="I51" s="268">
        <f t="shared" si="1"/>
        <v>0.5</v>
      </c>
      <c r="J51" s="223"/>
      <c r="K51" s="223"/>
      <c r="L51" s="223"/>
      <c r="M51" s="223"/>
      <c r="N51" s="223"/>
      <c r="O51" s="224"/>
    </row>
    <row r="52" spans="1:15" x14ac:dyDescent="0.25">
      <c r="A52" s="171"/>
      <c r="B52" s="172"/>
      <c r="C52" s="172"/>
      <c r="D52" s="172"/>
      <c r="E52" s="172"/>
      <c r="F52" s="172"/>
      <c r="G52" s="172"/>
      <c r="H52" s="161" t="s">
        <v>18</v>
      </c>
      <c r="I52" s="162">
        <f>SUM(I30:I51)</f>
        <v>16.033700000000003</v>
      </c>
      <c r="J52" s="150"/>
      <c r="K52" s="150"/>
      <c r="L52" s="150"/>
      <c r="M52" s="150"/>
      <c r="N52" s="150"/>
      <c r="O52" s="152"/>
    </row>
    <row r="53" spans="1:15" x14ac:dyDescent="0.25">
      <c r="A53" s="156"/>
      <c r="B53" s="150"/>
      <c r="C53" s="150"/>
      <c r="D53" s="150"/>
      <c r="E53" s="150"/>
      <c r="F53" s="150"/>
      <c r="G53" s="150"/>
      <c r="H53" s="150"/>
      <c r="I53" s="150"/>
      <c r="J53" s="150"/>
      <c r="K53" s="150"/>
      <c r="L53" s="150"/>
      <c r="M53" s="150"/>
      <c r="N53" s="150"/>
      <c r="O53" s="152"/>
    </row>
    <row r="54" spans="1:15" x14ac:dyDescent="0.25">
      <c r="A54" s="148" t="s">
        <v>14</v>
      </c>
      <c r="B54" s="148" t="s">
        <v>36</v>
      </c>
      <c r="C54" s="148" t="s">
        <v>20</v>
      </c>
      <c r="D54" s="148" t="s">
        <v>21</v>
      </c>
      <c r="E54" s="148" t="s">
        <v>22</v>
      </c>
      <c r="F54" s="148" t="s">
        <v>23</v>
      </c>
      <c r="G54" s="148" t="s">
        <v>24</v>
      </c>
      <c r="H54" s="148" t="s">
        <v>25</v>
      </c>
      <c r="I54" s="148" t="s">
        <v>17</v>
      </c>
      <c r="J54" s="148" t="s">
        <v>18</v>
      </c>
      <c r="K54" s="150"/>
      <c r="L54" s="150"/>
      <c r="M54" s="150"/>
      <c r="N54" s="150"/>
      <c r="O54" s="152"/>
    </row>
    <row r="55" spans="1:15" x14ac:dyDescent="0.25">
      <c r="A55" s="164">
        <v>10</v>
      </c>
      <c r="B55" s="164" t="s">
        <v>80</v>
      </c>
      <c r="C55" s="164" t="s">
        <v>81</v>
      </c>
      <c r="D55" s="177">
        <f>0.8/105154*E55^2*G55*SQRT(G55)+(0.003*EXP(0.319*E55))</f>
        <v>0.16167651505774214</v>
      </c>
      <c r="E55" s="164">
        <v>8</v>
      </c>
      <c r="F55" s="127" t="s">
        <v>30</v>
      </c>
      <c r="G55" s="178">
        <v>40</v>
      </c>
      <c r="H55" s="175" t="s">
        <v>30</v>
      </c>
      <c r="I55" s="128">
        <v>2</v>
      </c>
      <c r="J55" s="129">
        <f>D55*I55</f>
        <v>0.32335303011548427</v>
      </c>
      <c r="K55" s="150"/>
      <c r="L55" s="150"/>
      <c r="M55" s="150"/>
      <c r="N55" s="150"/>
      <c r="O55" s="152"/>
    </row>
    <row r="56" spans="1:15" x14ac:dyDescent="0.25">
      <c r="A56" s="164">
        <v>20</v>
      </c>
      <c r="B56" s="164" t="s">
        <v>82</v>
      </c>
      <c r="C56" s="164" t="s">
        <v>83</v>
      </c>
      <c r="D56" s="179">
        <f>(0.009*EXP(0.2*E56))</f>
        <v>4.4577291819556032E-2</v>
      </c>
      <c r="E56" s="164">
        <v>8</v>
      </c>
      <c r="F56" s="127" t="s">
        <v>30</v>
      </c>
      <c r="G56" s="164"/>
      <c r="H56" s="175"/>
      <c r="I56" s="130">
        <v>2</v>
      </c>
      <c r="J56" s="126">
        <f>D56*I56</f>
        <v>8.9154583639112064E-2</v>
      </c>
      <c r="K56" s="150"/>
      <c r="L56" s="150"/>
      <c r="M56" s="150"/>
      <c r="N56" s="150"/>
      <c r="O56" s="152"/>
    </row>
    <row r="57" spans="1:15" x14ac:dyDescent="0.25">
      <c r="A57" s="164">
        <v>30</v>
      </c>
      <c r="B57" s="164" t="s">
        <v>84</v>
      </c>
      <c r="C57" s="164" t="s">
        <v>85</v>
      </c>
      <c r="D57" s="164">
        <v>0.01</v>
      </c>
      <c r="E57" s="164">
        <v>8</v>
      </c>
      <c r="F57" s="127" t="s">
        <v>30</v>
      </c>
      <c r="G57" s="164"/>
      <c r="H57" s="175"/>
      <c r="I57" s="130">
        <v>4</v>
      </c>
      <c r="J57" s="126">
        <f>D57*I57</f>
        <v>0.04</v>
      </c>
      <c r="K57" s="180"/>
      <c r="L57" s="180"/>
      <c r="M57" s="180"/>
      <c r="N57" s="180"/>
      <c r="O57" s="152"/>
    </row>
    <row r="58" spans="1:15" x14ac:dyDescent="0.25">
      <c r="A58" s="171"/>
      <c r="B58" s="172"/>
      <c r="C58" s="172"/>
      <c r="D58" s="172"/>
      <c r="E58" s="172"/>
      <c r="F58" s="172"/>
      <c r="G58" s="172"/>
      <c r="H58" s="172"/>
      <c r="I58" s="161" t="s">
        <v>18</v>
      </c>
      <c r="J58" s="162">
        <f>SUM(J55:J57)</f>
        <v>0.45250761375459631</v>
      </c>
      <c r="K58" s="150"/>
      <c r="L58" s="150"/>
      <c r="M58" s="150"/>
      <c r="N58" s="150"/>
      <c r="O58" s="152"/>
    </row>
    <row r="59" spans="1:15" x14ac:dyDescent="0.25">
      <c r="A59" s="156"/>
      <c r="B59" s="150"/>
      <c r="C59" s="150"/>
      <c r="D59" s="150"/>
      <c r="E59" s="150"/>
      <c r="F59" s="150"/>
      <c r="G59" s="150"/>
      <c r="H59" s="150"/>
      <c r="I59" s="150"/>
      <c r="J59" s="150"/>
      <c r="K59" s="150"/>
      <c r="L59" s="150"/>
      <c r="M59" s="150"/>
      <c r="N59" s="150"/>
      <c r="O59" s="152"/>
    </row>
    <row r="60" spans="1:15" s="176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18"/>
      <c r="K60" s="220"/>
      <c r="L60" s="220"/>
      <c r="M60" s="220"/>
      <c r="N60" s="220"/>
      <c r="O60" s="221"/>
    </row>
    <row r="61" spans="1:15" s="176" customFormat="1" x14ac:dyDescent="0.25">
      <c r="A61" s="216">
        <v>10</v>
      </c>
      <c r="B61" s="216" t="s">
        <v>182</v>
      </c>
      <c r="C61" s="216" t="s">
        <v>183</v>
      </c>
      <c r="D61" s="267">
        <v>500</v>
      </c>
      <c r="E61" s="216" t="s">
        <v>184</v>
      </c>
      <c r="F61" s="216">
        <f>8</f>
        <v>8</v>
      </c>
      <c r="G61" s="216">
        <v>3000</v>
      </c>
      <c r="H61" s="216">
        <v>1</v>
      </c>
      <c r="I61" s="269">
        <f>D61*F61/G61*H61</f>
        <v>1.3333333333333333</v>
      </c>
      <c r="J61" s="218"/>
      <c r="K61" s="220"/>
      <c r="L61" s="220"/>
      <c r="M61" s="220"/>
      <c r="N61" s="220"/>
      <c r="O61" s="221"/>
    </row>
    <row r="62" spans="1:15" s="176" customFormat="1" x14ac:dyDescent="0.25">
      <c r="A62" s="239"/>
      <c r="B62" s="218"/>
      <c r="C62" s="218"/>
      <c r="D62" s="218"/>
      <c r="E62" s="218"/>
      <c r="F62" s="218"/>
      <c r="G62" s="218"/>
      <c r="H62" s="241" t="s">
        <v>18</v>
      </c>
      <c r="I62" s="240">
        <f>SUM(I61:I61)</f>
        <v>1.3333333333333333</v>
      </c>
      <c r="J62" s="218"/>
      <c r="K62" s="220"/>
      <c r="L62" s="220"/>
      <c r="M62" s="220"/>
      <c r="N62" s="220"/>
      <c r="O62" s="221"/>
    </row>
    <row r="63" spans="1:15" ht="15.75" thickBot="1" x14ac:dyDescent="0.3">
      <c r="A63" s="181"/>
      <c r="B63" s="182"/>
      <c r="C63" s="182"/>
      <c r="D63" s="182"/>
      <c r="E63" s="182"/>
      <c r="F63" s="182"/>
      <c r="G63" s="182"/>
      <c r="H63" s="182"/>
      <c r="I63" s="182"/>
      <c r="J63" s="182"/>
      <c r="K63" s="182"/>
      <c r="L63" s="182"/>
      <c r="M63" s="182"/>
      <c r="N63" s="182"/>
      <c r="O63" s="183"/>
    </row>
    <row r="64" spans="1:15" x14ac:dyDescent="0.25">
      <c r="A64" s="150"/>
      <c r="B64" s="150"/>
      <c r="C64" s="150"/>
      <c r="D64" s="150"/>
      <c r="E64" s="150"/>
      <c r="F64" s="150"/>
      <c r="G64" s="150"/>
      <c r="H64" s="150"/>
      <c r="I64" s="150"/>
      <c r="J64" s="150"/>
      <c r="K64" s="150"/>
      <c r="L64" s="150"/>
      <c r="M64" s="150"/>
      <c r="N64" s="150"/>
    </row>
  </sheetData>
  <hyperlinks>
    <hyperlink ref="B10" location="SU_03001" display="SU_03001" xr:uid="{00000000-0004-0000-2B00-000000000000}"/>
    <hyperlink ref="B11:B13" location="BR_01001" display="BR_01001" xr:uid="{00000000-0004-0000-2B00-000001000000}"/>
    <hyperlink ref="B14" location="SU_03005" display="SU_03005" xr:uid="{00000000-0004-0000-2B00-000002000000}"/>
    <hyperlink ref="B16" location="SU_03007" display="SU_03007" xr:uid="{00000000-0004-0000-2B00-000003000000}"/>
    <hyperlink ref="B11" location="SU_03002" display="SU_03002" xr:uid="{00000000-0004-0000-2B00-000004000000}"/>
    <hyperlink ref="B12" location="SU_03003" display="SU_03003" xr:uid="{00000000-0004-0000-2B00-000005000000}"/>
    <hyperlink ref="B13" location="SU_03004" display="SU_03004" xr:uid="{00000000-0004-0000-2B00-000006000000}"/>
    <hyperlink ref="B15" location="SU_03006" display="SU_03006" xr:uid="{00000000-0004-0000-2B00-000007000000}"/>
    <hyperlink ref="E2" location="SU_A0300_BOM" display="Back to BOM" xr:uid="{00000000-0004-0000-2B00-000008000000}"/>
    <hyperlink ref="B17" location="SU_02008" display="SU_02008" xr:uid="{00000000-0004-0000-2B00-000009000000}"/>
    <hyperlink ref="B18" location="SU_02009" display="SU_02009" xr:uid="{00000000-0004-0000-2B00-00000A000000}"/>
    <hyperlink ref="B19" location="SU_02010" display="SU_02010" xr:uid="{00000000-0004-0000-2B00-00000B000000}"/>
    <hyperlink ref="B20" location="SU_02011" display="SU_02011" xr:uid="{00000000-0004-0000-2B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tabColor rgb="FFFFFF66"/>
    <pageSetUpPr fitToPage="1"/>
  </sheetPr>
  <dimension ref="A1:S27"/>
  <sheetViews>
    <sheetView zoomScale="106" zoomScaleNormal="106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47"/>
    <col min="2" max="2" width="17.28515625" style="147" customWidth="1"/>
    <col min="3" max="3" width="29.7109375" style="147" customWidth="1"/>
    <col min="4" max="9" width="9.140625" style="147"/>
    <col min="10" max="10" width="12.5703125" style="147" customWidth="1"/>
    <col min="11" max="14" width="9.140625" style="147"/>
    <col min="15" max="15" width="3.140625" style="147" customWidth="1"/>
    <col min="16" max="17" width="9.140625" style="147"/>
    <col min="18" max="19" width="16.28515625" style="147" bestFit="1" customWidth="1"/>
    <col min="20" max="16384" width="9.140625" style="147"/>
  </cols>
  <sheetData>
    <row r="1" spans="1:19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9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SU_03001_m+SU_03001_p</f>
        <v>16.4854905344</v>
      </c>
      <c r="O2" s="152"/>
    </row>
    <row r="3" spans="1:19" x14ac:dyDescent="0.25">
      <c r="A3" s="184" t="s">
        <v>3</v>
      </c>
      <c r="B3" s="149" t="str">
        <f>'SU A0300'!B3</f>
        <v>Suspension &amp; Shocks</v>
      </c>
      <c r="C3" s="150"/>
      <c r="D3" s="184" t="s">
        <v>6</v>
      </c>
      <c r="E3" s="88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9" x14ac:dyDescent="0.25">
      <c r="A4" s="184" t="s">
        <v>5</v>
      </c>
      <c r="B4" s="87" t="s">
        <v>126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9" x14ac:dyDescent="0.25">
      <c r="A5" s="184" t="s">
        <v>15</v>
      </c>
      <c r="B5" s="155" t="s">
        <v>128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16.4854905344</v>
      </c>
      <c r="O5" s="152"/>
    </row>
    <row r="6" spans="1:19" x14ac:dyDescent="0.25">
      <c r="A6" s="184" t="s">
        <v>7</v>
      </c>
      <c r="B6" s="187" t="s">
        <v>132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9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9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9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9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9" s="170" customFormat="1" x14ac:dyDescent="0.25">
      <c r="A11" s="85">
        <v>10</v>
      </c>
      <c r="B11" s="26" t="s">
        <v>66</v>
      </c>
      <c r="C11" s="20" t="s">
        <v>38</v>
      </c>
      <c r="D11" s="272">
        <f>4.2</f>
        <v>4.2</v>
      </c>
      <c r="E11" s="195"/>
      <c r="F11" s="195"/>
      <c r="G11" s="195"/>
      <c r="H11" s="19"/>
      <c r="I11" s="196" t="s">
        <v>67</v>
      </c>
      <c r="J11" s="242">
        <f>63*62/1000000</f>
        <v>3.9060000000000002E-3</v>
      </c>
      <c r="K11" s="568">
        <v>5.6000000000000001E-2</v>
      </c>
      <c r="L11" s="168">
        <v>2712</v>
      </c>
      <c r="M11" s="23">
        <v>1</v>
      </c>
      <c r="N11" s="30">
        <f>D11*M11*L11*K11*J11</f>
        <v>2.4914905344</v>
      </c>
      <c r="O11" s="169"/>
    </row>
    <row r="12" spans="1:19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2.4914905344</v>
      </c>
      <c r="O12" s="152"/>
    </row>
    <row r="13" spans="1:19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S13" s="199"/>
    </row>
    <row r="14" spans="1:19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  <c r="R14" s="199"/>
    </row>
    <row r="15" spans="1:19" s="25" customFormat="1" ht="28.9" customHeight="1" x14ac:dyDescent="0.25">
      <c r="A15" s="243">
        <v>10</v>
      </c>
      <c r="B15" s="244" t="s">
        <v>39</v>
      </c>
      <c r="C15" s="243"/>
      <c r="D15" s="245">
        <v>1.3</v>
      </c>
      <c r="E15" s="244" t="s">
        <v>32</v>
      </c>
      <c r="F15" s="250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9" customHeight="1" x14ac:dyDescent="0.25">
      <c r="A16" s="246">
        <v>20</v>
      </c>
      <c r="B16" s="244" t="s">
        <v>92</v>
      </c>
      <c r="C16" s="247" t="s">
        <v>243</v>
      </c>
      <c r="D16" s="248">
        <v>0.04</v>
      </c>
      <c r="E16" s="246" t="s">
        <v>93</v>
      </c>
      <c r="F16" s="249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25">
      <c r="A17" s="243">
        <v>30</v>
      </c>
      <c r="B17" s="244" t="s">
        <v>91</v>
      </c>
      <c r="C17" s="243"/>
      <c r="D17" s="245">
        <v>0.65</v>
      </c>
      <c r="E17" s="244" t="s">
        <v>32</v>
      </c>
      <c r="F17" s="250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customFormat="1" ht="18.600000000000001" customHeight="1" x14ac:dyDescent="0.25">
      <c r="A18" s="246">
        <v>40</v>
      </c>
      <c r="B18" s="244" t="s">
        <v>92</v>
      </c>
      <c r="C18" s="247" t="s">
        <v>186</v>
      </c>
      <c r="D18" s="248">
        <v>0.04</v>
      </c>
      <c r="E18" s="246" t="s">
        <v>93</v>
      </c>
      <c r="F18" s="249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customFormat="1" ht="28.15" customHeight="1" x14ac:dyDescent="0.25">
      <c r="A19" s="243">
        <v>50</v>
      </c>
      <c r="B19" s="244" t="s">
        <v>91</v>
      </c>
      <c r="C19" s="243"/>
      <c r="D19" s="245">
        <v>0.65</v>
      </c>
      <c r="E19" s="244" t="s">
        <v>32</v>
      </c>
      <c r="F19" s="250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customFormat="1" ht="15" customHeight="1" x14ac:dyDescent="0.25">
      <c r="A20" s="246">
        <v>60</v>
      </c>
      <c r="B20" s="244" t="s">
        <v>92</v>
      </c>
      <c r="C20" s="247" t="s">
        <v>187</v>
      </c>
      <c r="D20" s="248">
        <v>0.04</v>
      </c>
      <c r="E20" s="246" t="s">
        <v>93</v>
      </c>
      <c r="F20" s="249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customFormat="1" ht="14.45" customHeight="1" x14ac:dyDescent="0.25">
      <c r="A21" s="243">
        <v>70</v>
      </c>
      <c r="B21" s="244" t="s">
        <v>91</v>
      </c>
      <c r="C21" s="243"/>
      <c r="D21" s="245">
        <v>0.65</v>
      </c>
      <c r="E21" s="244" t="s">
        <v>32</v>
      </c>
      <c r="F21" s="250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customFormat="1" ht="29.45" customHeight="1" x14ac:dyDescent="0.25">
      <c r="A22" s="246">
        <v>80</v>
      </c>
      <c r="B22" s="244" t="s">
        <v>92</v>
      </c>
      <c r="C22" s="247" t="s">
        <v>188</v>
      </c>
      <c r="D22" s="248">
        <v>0.04</v>
      </c>
      <c r="E22" s="246" t="s">
        <v>93</v>
      </c>
      <c r="F22" s="249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1"/>
    </row>
    <row r="23" spans="1:18" customFormat="1" ht="28.9" customHeight="1" x14ac:dyDescent="0.25">
      <c r="A23" s="243">
        <v>90</v>
      </c>
      <c r="B23" s="244" t="s">
        <v>91</v>
      </c>
      <c r="C23" s="243"/>
      <c r="D23" s="245">
        <v>0.65</v>
      </c>
      <c r="E23" s="244" t="s">
        <v>32</v>
      </c>
      <c r="F23" s="250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customFormat="1" ht="18.600000000000001" customHeight="1" x14ac:dyDescent="0.25">
      <c r="A24" s="246">
        <v>100</v>
      </c>
      <c r="B24" s="244" t="s">
        <v>92</v>
      </c>
      <c r="C24" s="247" t="s">
        <v>189</v>
      </c>
      <c r="D24" s="248">
        <v>0.04</v>
      </c>
      <c r="E24" s="246" t="s">
        <v>93</v>
      </c>
      <c r="F24" s="249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1"/>
    </row>
    <row r="25" spans="1:18" customFormat="1" ht="26.45" customHeight="1" x14ac:dyDescent="0.25">
      <c r="A25" s="243">
        <v>110</v>
      </c>
      <c r="B25" s="244" t="s">
        <v>190</v>
      </c>
      <c r="C25" s="247" t="s">
        <v>191</v>
      </c>
      <c r="D25" s="248">
        <v>0.35</v>
      </c>
      <c r="E25" s="246"/>
      <c r="F25" s="249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25">
      <c r="A26" s="171"/>
      <c r="B26" s="172"/>
      <c r="C26" s="172"/>
      <c r="D26" s="172"/>
      <c r="E26" s="172"/>
      <c r="F26" s="172"/>
      <c r="G26" s="172"/>
      <c r="H26" s="204" t="s">
        <v>18</v>
      </c>
      <c r="I26" s="198">
        <f>SUM(I15:I25)</f>
        <v>13.994000000000002</v>
      </c>
      <c r="J26" s="172"/>
      <c r="K26" s="172"/>
      <c r="L26" s="172"/>
      <c r="M26" s="172"/>
      <c r="N26" s="172"/>
      <c r="O26" s="152"/>
    </row>
    <row r="27" spans="1:18" ht="15.75" thickBot="1" x14ac:dyDescent="0.3">
      <c r="A27" s="181"/>
      <c r="B27" s="182"/>
      <c r="C27" s="182"/>
      <c r="D27" s="182"/>
      <c r="E27" s="182"/>
      <c r="F27" s="182"/>
      <c r="G27" s="182"/>
      <c r="H27" s="182"/>
      <c r="I27" s="182"/>
      <c r="J27" s="182"/>
      <c r="K27" s="182"/>
      <c r="L27" s="182"/>
      <c r="M27" s="182"/>
      <c r="N27" s="182"/>
      <c r="O27" s="183"/>
    </row>
  </sheetData>
  <hyperlinks>
    <hyperlink ref="B4" location="SU_A0300" display="Upper Back A-arm" xr:uid="{00000000-0004-0000-2C00-000000000000}"/>
    <hyperlink ref="E3" location="dSU_03001" display="Drawing" xr:uid="{00000000-0004-0000-2C00-000001000000}"/>
    <hyperlink ref="G2" location="SU_A0300_BOM" display="Back to BOM" xr:uid="{00000000-0004-0000-2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" style="147" customWidth="1"/>
    <col min="2" max="16384" width="11.42578125" style="147"/>
  </cols>
  <sheetData>
    <row r="1" spans="1:2" x14ac:dyDescent="0.25">
      <c r="A1" s="147" t="s">
        <v>99</v>
      </c>
      <c r="B1" s="88" t="str">
        <f>SU_03001</f>
        <v>SU 03001</v>
      </c>
    </row>
  </sheetData>
  <hyperlinks>
    <hyperlink ref="B1" location="SU_03001" display="SU_03001" xr:uid="{00000000-0004-0000-2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3.140625" style="147" customWidth="1"/>
    <col min="3" max="6" width="11.42578125" style="147"/>
    <col min="7" max="7" width="18" style="147" customWidth="1"/>
    <col min="8" max="8" width="11.42578125" style="147"/>
    <col min="9" max="9" width="21.42578125" style="147" customWidth="1"/>
    <col min="10" max="17" width="11.42578125" style="147"/>
    <col min="18" max="18" width="13.85546875" style="147" bestFit="1" customWidth="1"/>
    <col min="19" max="16384" width="11.42578125" style="147"/>
  </cols>
  <sheetData>
    <row r="1" spans="1:19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9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N12+I21</f>
        <v>1.8728805440000003</v>
      </c>
      <c r="O2" s="152"/>
    </row>
    <row r="3" spans="1:19" x14ac:dyDescent="0.25">
      <c r="A3" s="184" t="s">
        <v>3</v>
      </c>
      <c r="B3" s="149" t="str">
        <f>'SU A0300'!B3</f>
        <v>Suspension &amp; Shocks</v>
      </c>
      <c r="C3" s="150"/>
      <c r="D3" s="184" t="s">
        <v>6</v>
      </c>
      <c r="E3" s="88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2</v>
      </c>
      <c r="O3" s="152"/>
    </row>
    <row r="4" spans="1:19" x14ac:dyDescent="0.25">
      <c r="A4" s="184" t="s">
        <v>5</v>
      </c>
      <c r="B4" s="87" t="s">
        <v>126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9" x14ac:dyDescent="0.25">
      <c r="A5" s="205" t="s">
        <v>15</v>
      </c>
      <c r="B5" s="206" t="s">
        <v>90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3.7457610880000005</v>
      </c>
      <c r="O5" s="152"/>
    </row>
    <row r="6" spans="1:19" x14ac:dyDescent="0.25">
      <c r="A6" s="184" t="s">
        <v>7</v>
      </c>
      <c r="B6" s="187" t="s">
        <v>131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9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9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9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9" customFormat="1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25">
      <c r="A11" s="85">
        <v>10</v>
      </c>
      <c r="B11" s="26" t="s">
        <v>66</v>
      </c>
      <c r="C11" s="20" t="s">
        <v>38</v>
      </c>
      <c r="D11" s="272">
        <f>4.2</f>
        <v>4.2</v>
      </c>
      <c r="E11" s="252">
        <f>J11*K11*L11</f>
        <v>0.20437632</v>
      </c>
      <c r="F11" s="20" t="s">
        <v>94</v>
      </c>
      <c r="G11" s="20"/>
      <c r="H11" s="273"/>
      <c r="I11" s="21" t="s">
        <v>95</v>
      </c>
      <c r="J11" s="242">
        <f>3.14*20*20/1000000</f>
        <v>1.256E-3</v>
      </c>
      <c r="K11" s="251">
        <v>0.06</v>
      </c>
      <c r="L11" s="79">
        <v>2712</v>
      </c>
      <c r="M11" s="23">
        <v>1</v>
      </c>
      <c r="N11" s="272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0.85838054400000008</v>
      </c>
      <c r="O12" s="152"/>
    </row>
    <row r="13" spans="1:19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R13" s="199">
        <f>J11*K11/4</f>
        <v>1.8839999999999999E-5</v>
      </c>
      <c r="S13" s="199"/>
    </row>
    <row r="14" spans="1:19" customFormat="1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customFormat="1" ht="26.45" customHeight="1" x14ac:dyDescent="0.25">
      <c r="A15" s="321">
        <v>10</v>
      </c>
      <c r="B15" s="322" t="s">
        <v>39</v>
      </c>
      <c r="C15" s="321"/>
      <c r="D15" s="323">
        <v>1.3</v>
      </c>
      <c r="E15" s="322" t="s">
        <v>32</v>
      </c>
      <c r="F15" s="321">
        <v>1</v>
      </c>
      <c r="G15" s="321" t="s">
        <v>553</v>
      </c>
      <c r="H15" s="321">
        <f>1/16</f>
        <v>6.25E-2</v>
      </c>
      <c r="I15" s="324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15" customHeight="1" x14ac:dyDescent="0.25">
      <c r="A16" s="325">
        <v>20</v>
      </c>
      <c r="B16" s="322" t="s">
        <v>92</v>
      </c>
      <c r="C16" s="326" t="s">
        <v>192</v>
      </c>
      <c r="D16" s="327">
        <v>0.04</v>
      </c>
      <c r="E16" s="325" t="s">
        <v>93</v>
      </c>
      <c r="F16" s="328">
        <v>17</v>
      </c>
      <c r="G16" s="322" t="s">
        <v>193</v>
      </c>
      <c r="H16" s="227">
        <v>1</v>
      </c>
      <c r="I16" s="329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9" customHeight="1" x14ac:dyDescent="0.25">
      <c r="A17" s="321">
        <v>30</v>
      </c>
      <c r="B17" s="322" t="s">
        <v>91</v>
      </c>
      <c r="C17" s="321"/>
      <c r="D17" s="323">
        <v>0.65</v>
      </c>
      <c r="E17" s="322" t="s">
        <v>32</v>
      </c>
      <c r="F17" s="321">
        <v>1</v>
      </c>
      <c r="G17" s="321" t="s">
        <v>553</v>
      </c>
      <c r="H17" s="321">
        <f>1/16</f>
        <v>6.25E-2</v>
      </c>
      <c r="I17" s="324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25">
      <c r="A18" s="325">
        <v>40</v>
      </c>
      <c r="B18" s="322" t="s">
        <v>92</v>
      </c>
      <c r="C18" s="326" t="s">
        <v>194</v>
      </c>
      <c r="D18" s="327">
        <v>0.04</v>
      </c>
      <c r="E18" s="325" t="s">
        <v>93</v>
      </c>
      <c r="F18" s="328">
        <v>2</v>
      </c>
      <c r="G18" s="322" t="s">
        <v>193</v>
      </c>
      <c r="H18" s="227">
        <v>1</v>
      </c>
      <c r="I18" s="329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30" x14ac:dyDescent="0.25">
      <c r="A19" s="321">
        <v>50</v>
      </c>
      <c r="B19" s="322" t="s">
        <v>91</v>
      </c>
      <c r="C19" s="321"/>
      <c r="D19" s="323">
        <v>0.65</v>
      </c>
      <c r="E19" s="322" t="s">
        <v>32</v>
      </c>
      <c r="F19" s="321">
        <v>1</v>
      </c>
      <c r="G19" s="321" t="s">
        <v>553</v>
      </c>
      <c r="H19" s="321">
        <f>1/16</f>
        <v>6.25E-2</v>
      </c>
      <c r="I19" s="324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5" customHeight="1" x14ac:dyDescent="0.25">
      <c r="A20" s="325">
        <v>60</v>
      </c>
      <c r="B20" s="322" t="s">
        <v>92</v>
      </c>
      <c r="C20" s="326" t="s">
        <v>195</v>
      </c>
      <c r="D20" s="327">
        <v>0.04</v>
      </c>
      <c r="E20" s="325" t="s">
        <v>93</v>
      </c>
      <c r="F20" s="328">
        <v>2.2999999999999998</v>
      </c>
      <c r="G20" s="322" t="s">
        <v>193</v>
      </c>
      <c r="H20" s="227">
        <v>1</v>
      </c>
      <c r="I20" s="329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171"/>
      <c r="B21" s="172"/>
      <c r="C21" s="172"/>
      <c r="D21" s="172"/>
      <c r="E21" s="172"/>
      <c r="F21" s="172"/>
      <c r="G21" s="172"/>
      <c r="H21" s="204" t="s">
        <v>18</v>
      </c>
      <c r="I21" s="198">
        <f>SUM(I15:I20)</f>
        <v>1.0145000000000002</v>
      </c>
      <c r="J21" s="172"/>
      <c r="K21" s="172"/>
      <c r="L21" s="172"/>
      <c r="M21" s="172"/>
      <c r="N21" s="172"/>
      <c r="O21" s="152"/>
    </row>
    <row r="22" spans="1:19" ht="15.75" thickBot="1" x14ac:dyDescent="0.3">
      <c r="A22" s="181"/>
      <c r="B22" s="182"/>
      <c r="C22" s="182"/>
      <c r="D22" s="182"/>
      <c r="E22" s="182"/>
      <c r="F22" s="182"/>
      <c r="G22" s="182"/>
      <c r="H22" s="182"/>
      <c r="I22" s="182"/>
      <c r="J22" s="182"/>
      <c r="K22" s="182"/>
      <c r="L22" s="182"/>
      <c r="M22" s="182"/>
      <c r="N22" s="182"/>
      <c r="O22" s="183"/>
    </row>
  </sheetData>
  <hyperlinks>
    <hyperlink ref="B4" location="SU_A0300" display="Upper Back A-arm" xr:uid="{00000000-0004-0000-2E00-000000000000}"/>
    <hyperlink ref="E3" location="dSU_03002" display="Drawing" xr:uid="{00000000-0004-0000-2E00-000001000000}"/>
    <hyperlink ref="G2" location="SU_A0300_BOM" display="Back to BOM" xr:uid="{00000000-0004-0000-2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8.85546875" style="147" customWidth="1"/>
    <col min="2" max="16384" width="11.42578125" style="147"/>
  </cols>
  <sheetData>
    <row r="1" spans="1:2" x14ac:dyDescent="0.25">
      <c r="A1" s="147" t="s">
        <v>99</v>
      </c>
      <c r="B1" s="88" t="str">
        <f>SU_03002</f>
        <v>SU 03002</v>
      </c>
    </row>
    <row r="4" spans="1:2" x14ac:dyDescent="0.25">
      <c r="B4" s="147" t="s">
        <v>105</v>
      </c>
    </row>
    <row r="5" spans="1:2" x14ac:dyDescent="0.25">
      <c r="B5" s="147" t="s">
        <v>106</v>
      </c>
    </row>
    <row r="6" spans="1:2" x14ac:dyDescent="0.25">
      <c r="B6" s="209"/>
    </row>
  </sheetData>
  <hyperlinks>
    <hyperlink ref="B1" location="SU_03002" display="SU_03002" xr:uid="{00000000-0004-0000-2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0.42578125" style="147" customWidth="1"/>
    <col min="3" max="3" width="33" style="147" customWidth="1"/>
    <col min="4" max="4" width="11.42578125" style="147"/>
    <col min="5" max="5" width="17" style="147" customWidth="1"/>
    <col min="6" max="16384" width="11.425781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10.876934879999999</v>
      </c>
      <c r="O2" s="152"/>
    </row>
    <row r="3" spans="1:15" x14ac:dyDescent="0.25">
      <c r="A3" s="184" t="s">
        <v>3</v>
      </c>
      <c r="B3" s="149" t="str">
        <f>'SU A0300'!B3</f>
        <v>Suspension &amp; Shocks</v>
      </c>
      <c r="C3" s="150"/>
      <c r="D3" s="184" t="s">
        <v>6</v>
      </c>
      <c r="E3" s="147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5" x14ac:dyDescent="0.25">
      <c r="A4" s="184" t="s">
        <v>5</v>
      </c>
      <c r="B4" s="87" t="s">
        <v>126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5" x14ac:dyDescent="0.25">
      <c r="A5" s="184" t="s">
        <v>15</v>
      </c>
      <c r="B5" s="73" t="s">
        <v>129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10.876934879999999</v>
      </c>
      <c r="O5" s="152"/>
    </row>
    <row r="6" spans="1:15" x14ac:dyDescent="0.25">
      <c r="A6" s="184" t="s">
        <v>7</v>
      </c>
      <c r="B6" s="187" t="s">
        <v>133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5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9.6683865599999983</v>
      </c>
      <c r="E11" s="21">
        <f>J11*K11</f>
        <v>3.0596159999999994E-5</v>
      </c>
      <c r="F11" s="20" t="s">
        <v>119</v>
      </c>
      <c r="G11" s="20"/>
      <c r="H11" s="19"/>
      <c r="I11" s="21" t="s">
        <v>96</v>
      </c>
      <c r="J11" s="242">
        <f>3.14*(0.008*0.008-0.006*0.006)</f>
        <v>8.7919999999999985E-5</v>
      </c>
      <c r="K11" s="78">
        <v>0.34799999999999998</v>
      </c>
      <c r="L11" s="79">
        <v>1580</v>
      </c>
      <c r="M11" s="139">
        <v>1</v>
      </c>
      <c r="N11" s="30">
        <f>D11*M11</f>
        <v>9.6683865599999983</v>
      </c>
      <c r="O11" s="169"/>
    </row>
    <row r="12" spans="1:15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9.6683865599999983</v>
      </c>
      <c r="O12" s="152"/>
    </row>
    <row r="13" spans="1:15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</row>
    <row r="14" spans="1:15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</row>
    <row r="15" spans="1:15" ht="29.45" customHeight="1" x14ac:dyDescent="0.25">
      <c r="A15" s="137">
        <v>10</v>
      </c>
      <c r="B15" s="137" t="s">
        <v>139</v>
      </c>
      <c r="C15" s="137" t="s">
        <v>140</v>
      </c>
      <c r="D15" s="213">
        <v>25</v>
      </c>
      <c r="E15" s="212" t="s">
        <v>141</v>
      </c>
      <c r="F15" s="215">
        <f>J11*K11*L11</f>
        <v>4.8341932799999994E-2</v>
      </c>
      <c r="G15" s="211"/>
      <c r="H15" s="211"/>
      <c r="I15" s="214">
        <f>IF(H15="",D15*F15,D15*F15*H15)</f>
        <v>1.2085483199999998</v>
      </c>
      <c r="J15" s="180"/>
      <c r="K15" s="180"/>
      <c r="L15" s="180"/>
      <c r="M15" s="180"/>
      <c r="N15" s="180"/>
      <c r="O15" s="173"/>
    </row>
    <row r="16" spans="1:15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1.2085483199999998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B4" location="SU_A0300" display="Upper Back A-arm" xr:uid="{00000000-0004-0000-3000-000000000000}"/>
    <hyperlink ref="G2" location="SU_A0300_BOM" display="Back to BOM" xr:uid="{00000000-0004-0000-30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FF66"/>
    <pageSetUpPr fitToPage="1"/>
  </sheetPr>
  <dimension ref="A1:S22"/>
  <sheetViews>
    <sheetView zoomScale="85" zoomScaleNormal="85" zoomScalePageLayoutView="70" workbookViewId="0">
      <selection activeCell="B6" sqref="B6"/>
    </sheetView>
  </sheetViews>
  <sheetFormatPr baseColWidth="10" defaultRowHeight="15" x14ac:dyDescent="0.25"/>
  <cols>
    <col min="1" max="1" width="11.42578125" style="22"/>
    <col min="2" max="2" width="35" style="22" customWidth="1"/>
    <col min="3" max="3" width="22.140625" style="22" customWidth="1"/>
    <col min="4" max="4" width="8.7109375" style="22" customWidth="1"/>
    <col min="5" max="6" width="11.42578125" style="22"/>
    <col min="7" max="7" width="27.42578125" style="22" customWidth="1"/>
    <col min="8" max="8" width="11.42578125" style="22"/>
    <col min="9" max="9" width="21.42578125" style="22" customWidth="1"/>
    <col min="10" max="14" width="11.42578125" style="22"/>
    <col min="15" max="15" width="8.5703125" style="22" customWidth="1"/>
    <col min="16" max="17" width="11.42578125" style="22"/>
    <col min="18" max="18" width="13.85546875" style="22" bestFit="1" customWidth="1"/>
    <col min="19" max="16384" width="11.42578125" style="22"/>
  </cols>
  <sheetData>
    <row r="1" spans="1:19" x14ac:dyDescent="0.25">
      <c r="A1" s="1171"/>
      <c r="B1" s="1172"/>
      <c r="C1" s="1172"/>
      <c r="D1" s="1172"/>
      <c r="E1" s="1172"/>
      <c r="F1" s="1172"/>
      <c r="G1" s="1172"/>
      <c r="H1" s="1172"/>
      <c r="I1" s="1172"/>
      <c r="J1" s="1172"/>
      <c r="K1" s="1172"/>
      <c r="L1" s="1172"/>
      <c r="M1" s="1172"/>
      <c r="N1" s="1172"/>
      <c r="O1" s="1173"/>
    </row>
    <row r="2" spans="1:19" x14ac:dyDescent="0.25">
      <c r="A2" s="989" t="s">
        <v>0</v>
      </c>
      <c r="B2" s="1174" t="s">
        <v>37</v>
      </c>
      <c r="C2" s="1175"/>
      <c r="D2" s="1175"/>
      <c r="E2" s="1175"/>
      <c r="F2" s="1175"/>
      <c r="G2" s="1176" t="s">
        <v>62</v>
      </c>
      <c r="H2" s="1175"/>
      <c r="I2" s="1175"/>
      <c r="J2" s="100" t="s">
        <v>1</v>
      </c>
      <c r="K2" s="83">
        <v>81</v>
      </c>
      <c r="L2" s="1175"/>
      <c r="M2" s="989" t="s">
        <v>16</v>
      </c>
      <c r="N2" s="74">
        <f>N12+I21</f>
        <v>1.8728805440000003</v>
      </c>
      <c r="O2" s="66"/>
    </row>
    <row r="3" spans="1:19" x14ac:dyDescent="0.25">
      <c r="A3" s="989" t="s">
        <v>3</v>
      </c>
      <c r="B3" s="1174" t="str">
        <f>'SU A0100'!B3</f>
        <v>Suspension &amp; Shocks</v>
      </c>
      <c r="C3" s="1175"/>
      <c r="D3" s="989" t="s">
        <v>6</v>
      </c>
      <c r="E3" s="1177" t="s">
        <v>60</v>
      </c>
      <c r="F3" s="1175"/>
      <c r="G3" s="1175"/>
      <c r="H3" s="1175"/>
      <c r="I3" s="1175"/>
      <c r="J3" s="1175"/>
      <c r="K3" s="1175"/>
      <c r="L3" s="1175"/>
      <c r="M3" s="989" t="s">
        <v>4</v>
      </c>
      <c r="N3" s="82">
        <v>2</v>
      </c>
      <c r="O3" s="66"/>
    </row>
    <row r="4" spans="1:19" x14ac:dyDescent="0.25">
      <c r="A4" s="989" t="s">
        <v>5</v>
      </c>
      <c r="B4" s="1176" t="str">
        <f>'SU A0100'!B4</f>
        <v>Upper Front A-arm</v>
      </c>
      <c r="C4" s="1175"/>
      <c r="D4" s="989" t="s">
        <v>8</v>
      </c>
      <c r="E4" s="1175"/>
      <c r="F4" s="1175"/>
      <c r="G4" s="1175"/>
      <c r="H4" s="1175"/>
      <c r="I4" s="1175"/>
      <c r="J4" s="991" t="s">
        <v>6</v>
      </c>
      <c r="K4" s="1175"/>
      <c r="L4" s="1175"/>
      <c r="M4" s="1175"/>
      <c r="N4" s="1175"/>
      <c r="O4" s="66"/>
    </row>
    <row r="5" spans="1:19" x14ac:dyDescent="0.25">
      <c r="A5" s="989" t="s">
        <v>15</v>
      </c>
      <c r="B5" s="73" t="s">
        <v>90</v>
      </c>
      <c r="C5" s="1175"/>
      <c r="D5" s="989" t="s">
        <v>12</v>
      </c>
      <c r="E5" s="1175"/>
      <c r="F5" s="1175"/>
      <c r="G5" s="1175"/>
      <c r="H5" s="1175"/>
      <c r="I5" s="1175"/>
      <c r="J5" s="991" t="s">
        <v>8</v>
      </c>
      <c r="K5" s="1175"/>
      <c r="L5" s="1175"/>
      <c r="M5" s="989" t="s">
        <v>9</v>
      </c>
      <c r="N5" s="74">
        <f>N3*N2</f>
        <v>3.7457610880000005</v>
      </c>
      <c r="O5" s="66"/>
    </row>
    <row r="6" spans="1:19" x14ac:dyDescent="0.25">
      <c r="A6" s="989" t="s">
        <v>7</v>
      </c>
      <c r="B6" s="28" t="s">
        <v>100</v>
      </c>
      <c r="C6" s="1175"/>
      <c r="D6" s="1175"/>
      <c r="E6" s="1175"/>
      <c r="F6" s="1175"/>
      <c r="G6" s="1175"/>
      <c r="H6" s="1175"/>
      <c r="I6" s="1175"/>
      <c r="J6" s="991" t="s">
        <v>12</v>
      </c>
      <c r="K6" s="1175"/>
      <c r="L6" s="1175"/>
      <c r="M6" s="1175"/>
      <c r="N6" s="1175"/>
      <c r="O6" s="66"/>
    </row>
    <row r="7" spans="1:19" x14ac:dyDescent="0.25">
      <c r="A7" s="989" t="s">
        <v>10</v>
      </c>
      <c r="B7" s="1174" t="s">
        <v>11</v>
      </c>
      <c r="C7" s="1175"/>
      <c r="D7" s="1175"/>
      <c r="E7" s="1175"/>
      <c r="F7" s="1175"/>
      <c r="G7" s="1175"/>
      <c r="H7" s="1175"/>
      <c r="I7" s="1175"/>
      <c r="J7" s="1175"/>
      <c r="K7" s="1175"/>
      <c r="L7" s="1175"/>
      <c r="M7" s="1175"/>
      <c r="N7" s="1175"/>
      <c r="O7" s="66"/>
    </row>
    <row r="8" spans="1:19" x14ac:dyDescent="0.25">
      <c r="A8" s="989" t="s">
        <v>13</v>
      </c>
      <c r="B8" s="1174"/>
      <c r="C8" s="1175"/>
      <c r="D8" s="1175"/>
      <c r="E8" s="1175"/>
      <c r="F8" s="1175"/>
      <c r="G8" s="1175"/>
      <c r="H8" s="1175"/>
      <c r="I8" s="1175"/>
      <c r="J8" s="1175"/>
      <c r="K8" s="1175"/>
      <c r="L8" s="1175"/>
      <c r="M8" s="1175"/>
      <c r="N8" s="1175"/>
      <c r="O8" s="66"/>
    </row>
    <row r="9" spans="1:19" x14ac:dyDescent="0.25">
      <c r="A9" s="1178"/>
      <c r="B9" s="1179"/>
      <c r="C9" s="1179"/>
      <c r="D9" s="1179"/>
      <c r="E9" s="1179"/>
      <c r="F9" s="1175"/>
      <c r="G9" s="1175"/>
      <c r="H9" s="1175"/>
      <c r="I9" s="1175"/>
      <c r="J9" s="1175"/>
      <c r="K9" s="1175"/>
      <c r="L9" s="1175"/>
      <c r="M9" s="1175"/>
      <c r="N9" s="1175"/>
      <c r="O9" s="66"/>
    </row>
    <row r="10" spans="1:19" x14ac:dyDescent="0.25">
      <c r="A10" s="992" t="s">
        <v>14</v>
      </c>
      <c r="B10" s="993" t="s">
        <v>19</v>
      </c>
      <c r="C10" s="993" t="s">
        <v>20</v>
      </c>
      <c r="D10" s="993" t="s">
        <v>21</v>
      </c>
      <c r="E10" s="993" t="s">
        <v>22</v>
      </c>
      <c r="F10" s="994" t="s">
        <v>23</v>
      </c>
      <c r="G10" s="994" t="s">
        <v>24</v>
      </c>
      <c r="H10" s="994" t="s">
        <v>25</v>
      </c>
      <c r="I10" s="994" t="s">
        <v>26</v>
      </c>
      <c r="J10" s="994" t="s">
        <v>27</v>
      </c>
      <c r="K10" s="994" t="s">
        <v>28</v>
      </c>
      <c r="L10" s="994" t="s">
        <v>29</v>
      </c>
      <c r="M10" s="994" t="s">
        <v>17</v>
      </c>
      <c r="N10" s="994" t="s">
        <v>18</v>
      </c>
      <c r="O10" s="66"/>
    </row>
    <row r="11" spans="1:19" x14ac:dyDescent="0.25">
      <c r="A11" s="85">
        <v>10</v>
      </c>
      <c r="B11" s="670" t="s">
        <v>66</v>
      </c>
      <c r="C11" s="20" t="s">
        <v>38</v>
      </c>
      <c r="D11" s="272">
        <f>4.2</f>
        <v>4.2</v>
      </c>
      <c r="E11" s="252">
        <f>J11*K11*L11</f>
        <v>0.20437632</v>
      </c>
      <c r="F11" s="20" t="s">
        <v>94</v>
      </c>
      <c r="G11" s="20"/>
      <c r="H11" s="273"/>
      <c r="I11" s="21" t="s">
        <v>95</v>
      </c>
      <c r="J11" s="242">
        <f>3.14*20*20/1000000</f>
        <v>1.256E-3</v>
      </c>
      <c r="K11" s="251">
        <v>0.06</v>
      </c>
      <c r="L11" s="79">
        <v>2712</v>
      </c>
      <c r="M11" s="23">
        <v>1</v>
      </c>
      <c r="N11" s="272">
        <f>D11*E11*M11</f>
        <v>0.85838054400000008</v>
      </c>
      <c r="O11" s="66"/>
    </row>
    <row r="12" spans="1:19" x14ac:dyDescent="0.25">
      <c r="A12" s="1180"/>
      <c r="B12" s="1181"/>
      <c r="C12" s="1181"/>
      <c r="D12" s="1181"/>
      <c r="E12" s="1181"/>
      <c r="F12" s="1181"/>
      <c r="G12" s="1181"/>
      <c r="H12" s="1181"/>
      <c r="I12" s="1181"/>
      <c r="J12" s="1181"/>
      <c r="K12" s="1181"/>
      <c r="L12" s="1181"/>
      <c r="M12" s="105" t="s">
        <v>18</v>
      </c>
      <c r="N12" s="997">
        <f>SUM(N11:N11)</f>
        <v>0.85838054400000008</v>
      </c>
      <c r="O12" s="66"/>
    </row>
    <row r="13" spans="1:19" x14ac:dyDescent="0.25">
      <c r="A13" s="1182"/>
      <c r="B13" s="1175"/>
      <c r="C13" s="1175"/>
      <c r="D13" s="1175"/>
      <c r="E13" s="1175"/>
      <c r="F13" s="1175"/>
      <c r="G13" s="1175"/>
      <c r="H13" s="1175"/>
      <c r="I13" s="1175"/>
      <c r="J13" s="1175"/>
      <c r="K13" s="1175"/>
      <c r="L13" s="1175"/>
      <c r="M13" s="1175"/>
      <c r="N13" s="1175"/>
      <c r="O13" s="66"/>
      <c r="R13" s="1183"/>
      <c r="S13" s="1183"/>
    </row>
    <row r="14" spans="1:19" x14ac:dyDescent="0.25">
      <c r="A14" s="998" t="s">
        <v>14</v>
      </c>
      <c r="B14" s="994" t="s">
        <v>31</v>
      </c>
      <c r="C14" s="994" t="s">
        <v>20</v>
      </c>
      <c r="D14" s="994" t="s">
        <v>21</v>
      </c>
      <c r="E14" s="994" t="s">
        <v>32</v>
      </c>
      <c r="F14" s="994" t="s">
        <v>17</v>
      </c>
      <c r="G14" s="994" t="s">
        <v>33</v>
      </c>
      <c r="H14" s="994" t="s">
        <v>34</v>
      </c>
      <c r="I14" s="994" t="s">
        <v>18</v>
      </c>
      <c r="J14" s="1181"/>
      <c r="K14" s="1181"/>
      <c r="L14" s="1181"/>
      <c r="M14" s="1181"/>
      <c r="N14" s="1181"/>
      <c r="O14" s="66"/>
      <c r="R14" s="1183"/>
    </row>
    <row r="15" spans="1:19" x14ac:dyDescent="0.25">
      <c r="A15" s="1184">
        <v>10</v>
      </c>
      <c r="B15" s="1185" t="s">
        <v>39</v>
      </c>
      <c r="C15" s="1184"/>
      <c r="D15" s="385">
        <v>1.3</v>
      </c>
      <c r="E15" s="1185" t="s">
        <v>32</v>
      </c>
      <c r="F15" s="1184">
        <v>1</v>
      </c>
      <c r="G15" s="1184" t="s">
        <v>553</v>
      </c>
      <c r="H15" s="1184">
        <f>1/16</f>
        <v>6.25E-2</v>
      </c>
      <c r="I15" s="329">
        <f t="shared" ref="I15:I20" si="0">IF(H15="",D15*F15,D15*F15*H15)</f>
        <v>8.1250000000000003E-2</v>
      </c>
      <c r="J15" s="1175"/>
      <c r="K15" s="1175"/>
      <c r="L15" s="1175"/>
      <c r="M15" s="1175"/>
      <c r="N15" s="1175"/>
      <c r="O15" s="66"/>
      <c r="R15" s="1183"/>
    </row>
    <row r="16" spans="1:19" ht="16.5" customHeight="1" x14ac:dyDescent="0.25">
      <c r="A16" s="383">
        <v>20</v>
      </c>
      <c r="B16" s="1185" t="s">
        <v>92</v>
      </c>
      <c r="C16" s="383" t="s">
        <v>192</v>
      </c>
      <c r="D16" s="385">
        <v>0.04</v>
      </c>
      <c r="E16" s="383" t="s">
        <v>93</v>
      </c>
      <c r="F16" s="1186">
        <v>17</v>
      </c>
      <c r="G16" s="1185" t="s">
        <v>193</v>
      </c>
      <c r="H16" s="1184">
        <v>1</v>
      </c>
      <c r="I16" s="329">
        <f t="shared" si="0"/>
        <v>0.68</v>
      </c>
      <c r="J16" s="1175"/>
      <c r="K16" s="1175"/>
      <c r="L16" s="1175"/>
      <c r="M16" s="1175"/>
      <c r="N16" s="1175"/>
      <c r="O16" s="66"/>
      <c r="R16" s="1183"/>
    </row>
    <row r="17" spans="1:19" x14ac:dyDescent="0.25">
      <c r="A17" s="1184">
        <v>30</v>
      </c>
      <c r="B17" s="1185" t="s">
        <v>91</v>
      </c>
      <c r="C17" s="1184"/>
      <c r="D17" s="385">
        <v>0.65</v>
      </c>
      <c r="E17" s="1185" t="s">
        <v>32</v>
      </c>
      <c r="F17" s="1184">
        <v>1</v>
      </c>
      <c r="G17" s="1184" t="s">
        <v>553</v>
      </c>
      <c r="H17" s="1184">
        <f>1/16</f>
        <v>6.25E-2</v>
      </c>
      <c r="I17" s="329">
        <f t="shared" si="0"/>
        <v>4.0625000000000001E-2</v>
      </c>
      <c r="J17" s="1187"/>
      <c r="K17" s="1187"/>
      <c r="L17" s="1187"/>
      <c r="M17" s="1187"/>
      <c r="N17" s="1187"/>
      <c r="O17" s="1188"/>
      <c r="P17" s="1189"/>
      <c r="Q17" s="1189"/>
      <c r="R17" s="1190"/>
      <c r="S17" s="1189"/>
    </row>
    <row r="18" spans="1:19" ht="15.6" customHeight="1" x14ac:dyDescent="0.25">
      <c r="A18" s="383">
        <v>40</v>
      </c>
      <c r="B18" s="1185" t="s">
        <v>92</v>
      </c>
      <c r="C18" s="383" t="s">
        <v>194</v>
      </c>
      <c r="D18" s="385">
        <v>0.04</v>
      </c>
      <c r="E18" s="383" t="s">
        <v>93</v>
      </c>
      <c r="F18" s="1186">
        <v>2</v>
      </c>
      <c r="G18" s="1185" t="s">
        <v>193</v>
      </c>
      <c r="H18" s="1184">
        <v>1</v>
      </c>
      <c r="I18" s="329">
        <f t="shared" si="0"/>
        <v>0.08</v>
      </c>
      <c r="J18" s="1175"/>
      <c r="K18" s="1175"/>
      <c r="L18" s="1175"/>
      <c r="M18" s="1175"/>
      <c r="N18" s="1175"/>
      <c r="O18" s="66"/>
      <c r="R18" s="1183"/>
    </row>
    <row r="19" spans="1:19" x14ac:dyDescent="0.25">
      <c r="A19" s="1184">
        <v>50</v>
      </c>
      <c r="B19" s="1185" t="s">
        <v>91</v>
      </c>
      <c r="C19" s="1184"/>
      <c r="D19" s="385">
        <v>0.65</v>
      </c>
      <c r="E19" s="1185" t="s">
        <v>32</v>
      </c>
      <c r="F19" s="1184">
        <v>1</v>
      </c>
      <c r="G19" s="1184" t="s">
        <v>553</v>
      </c>
      <c r="H19" s="1184">
        <f>1/16</f>
        <v>6.25E-2</v>
      </c>
      <c r="I19" s="329">
        <f t="shared" si="0"/>
        <v>4.0625000000000001E-2</v>
      </c>
      <c r="J19" s="1175"/>
      <c r="K19" s="1175"/>
      <c r="L19" s="1175"/>
      <c r="M19" s="1175"/>
      <c r="N19" s="1175"/>
      <c r="O19" s="66"/>
      <c r="R19" s="1183"/>
    </row>
    <row r="20" spans="1:19" ht="14.45" customHeight="1" x14ac:dyDescent="0.25">
      <c r="A20" s="383">
        <v>60</v>
      </c>
      <c r="B20" s="1185" t="s">
        <v>92</v>
      </c>
      <c r="C20" s="383" t="s">
        <v>195</v>
      </c>
      <c r="D20" s="385">
        <v>0.04</v>
      </c>
      <c r="E20" s="383" t="s">
        <v>93</v>
      </c>
      <c r="F20" s="1186">
        <v>2.2999999999999998</v>
      </c>
      <c r="G20" s="1185" t="s">
        <v>193</v>
      </c>
      <c r="H20" s="1184">
        <v>1</v>
      </c>
      <c r="I20" s="329">
        <f t="shared" si="0"/>
        <v>9.1999999999999998E-2</v>
      </c>
      <c r="J20" s="1175"/>
      <c r="K20" s="1175"/>
      <c r="L20" s="1175"/>
      <c r="M20" s="1175"/>
      <c r="N20" s="1175"/>
      <c r="O20" s="66"/>
    </row>
    <row r="21" spans="1:19" x14ac:dyDescent="0.25">
      <c r="A21" s="1180"/>
      <c r="B21" s="1181"/>
      <c r="C21" s="1181"/>
      <c r="D21" s="1181"/>
      <c r="E21" s="1181"/>
      <c r="F21" s="1181"/>
      <c r="G21" s="1181"/>
      <c r="H21" s="108" t="s">
        <v>18</v>
      </c>
      <c r="I21" s="997">
        <f>SUM(I15:I20)</f>
        <v>1.0145000000000002</v>
      </c>
      <c r="J21" s="1181"/>
      <c r="K21" s="1181"/>
      <c r="L21" s="1181"/>
      <c r="M21" s="1181"/>
      <c r="N21" s="1181"/>
      <c r="O21" s="66"/>
    </row>
    <row r="22" spans="1:19" ht="15.75" thickBot="1" x14ac:dyDescent="0.3">
      <c r="A22" s="1191"/>
      <c r="B22" s="1192"/>
      <c r="C22" s="1192"/>
      <c r="D22" s="1192"/>
      <c r="E22" s="1192"/>
      <c r="F22" s="1192"/>
      <c r="G22" s="1192"/>
      <c r="H22" s="1192"/>
      <c r="I22" s="1192"/>
      <c r="J22" s="1192"/>
      <c r="K22" s="1192"/>
      <c r="L22" s="1192"/>
      <c r="M22" s="1192"/>
      <c r="N22" s="1192"/>
      <c r="O22" s="1193"/>
    </row>
  </sheetData>
  <hyperlinks>
    <hyperlink ref="B4" location="'SU A0100'!A1" display="'SU A0100'!A1" xr:uid="{00000000-0004-0000-0400-000000000000}"/>
    <hyperlink ref="E3" location="dSU_01002" display="Drawing" xr:uid="{00000000-0004-0000-0400-000001000000}"/>
    <hyperlink ref="G2" location="SU_A0100_BOM" display="Back to BOM" xr:uid="{00000000-0004-0000-0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33.85546875" style="147" customWidth="1"/>
    <col min="3" max="3" width="46.7109375" style="147" customWidth="1"/>
    <col min="4" max="4" width="11.42578125" style="147"/>
    <col min="5" max="5" width="18.28515625" style="147" customWidth="1"/>
    <col min="6" max="16384" width="11.425781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4.3445228399999989</v>
      </c>
      <c r="O2" s="152"/>
    </row>
    <row r="3" spans="1:15" x14ac:dyDescent="0.25">
      <c r="A3" s="184" t="s">
        <v>3</v>
      </c>
      <c r="B3" s="149" t="str">
        <f>'SU A0300'!B3</f>
        <v>Suspension &amp; Shocks</v>
      </c>
      <c r="C3" s="150"/>
      <c r="D3" s="184" t="s">
        <v>6</v>
      </c>
      <c r="E3" s="147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5" x14ac:dyDescent="0.25">
      <c r="A4" s="184" t="s">
        <v>5</v>
      </c>
      <c r="B4" s="87" t="s">
        <v>126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5" x14ac:dyDescent="0.25">
      <c r="A5" s="184" t="s">
        <v>15</v>
      </c>
      <c r="B5" s="73" t="s">
        <v>130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4.3445228399999989</v>
      </c>
      <c r="O5" s="152"/>
    </row>
    <row r="6" spans="1:15" x14ac:dyDescent="0.25">
      <c r="A6" s="184" t="s">
        <v>7</v>
      </c>
      <c r="B6" s="187" t="s">
        <v>137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5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3.8617980799999994</v>
      </c>
      <c r="E11" s="242">
        <f>J11*K11</f>
        <v>1.2220879999999999E-5</v>
      </c>
      <c r="F11" s="20" t="s">
        <v>119</v>
      </c>
      <c r="G11" s="20"/>
      <c r="H11" s="19"/>
      <c r="I11" s="21" t="s">
        <v>96</v>
      </c>
      <c r="J11" s="242">
        <f>3.14*(0.008*0.008-0.006*0.006)</f>
        <v>8.7919999999999985E-5</v>
      </c>
      <c r="K11" s="78">
        <v>0.13900000000000001</v>
      </c>
      <c r="L11" s="79">
        <v>1580</v>
      </c>
      <c r="M11" s="139">
        <v>1</v>
      </c>
      <c r="N11" s="30">
        <f>D11*M11</f>
        <v>3.8617980799999994</v>
      </c>
      <c r="O11" s="169"/>
    </row>
    <row r="12" spans="1:15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3.8617980799999994</v>
      </c>
      <c r="O12" s="152"/>
    </row>
    <row r="13" spans="1:15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</row>
    <row r="14" spans="1:15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</row>
    <row r="15" spans="1:15" x14ac:dyDescent="0.25">
      <c r="A15" s="137">
        <v>10</v>
      </c>
      <c r="B15" s="137" t="s">
        <v>139</v>
      </c>
      <c r="C15" s="137" t="s">
        <v>140</v>
      </c>
      <c r="D15" s="213">
        <v>25</v>
      </c>
      <c r="E15" s="212" t="s">
        <v>141</v>
      </c>
      <c r="F15" s="215">
        <f>J11*K11*L11</f>
        <v>1.9308990399999997E-2</v>
      </c>
      <c r="G15" s="211"/>
      <c r="H15" s="211"/>
      <c r="I15" s="214">
        <f>IF(H15="",D15*F15,D15*F15*H15)</f>
        <v>0.48272475999999992</v>
      </c>
      <c r="J15" s="180"/>
      <c r="K15" s="180"/>
      <c r="L15" s="180"/>
      <c r="M15" s="180"/>
      <c r="N15" s="180"/>
      <c r="O15" s="173"/>
    </row>
    <row r="16" spans="1:15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0.48272475999999992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B4" location="SU_A0300" display="Upper Back A-arm" xr:uid="{00000000-0004-0000-3100-000000000000}"/>
    <hyperlink ref="G2" location="SU_A0300_BOM" display="Back to BOM" xr:uid="{00000000-0004-0000-31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5.140625" style="147" customWidth="1"/>
    <col min="3" max="3" width="30.5703125" style="147" customWidth="1"/>
    <col min="4" max="8" width="11.42578125" style="147"/>
    <col min="9" max="9" width="14" style="147" customWidth="1"/>
    <col min="10" max="16" width="11.42578125" style="147"/>
    <col min="17" max="17" width="12.85546875" style="147" bestFit="1" customWidth="1"/>
    <col min="18" max="16384" width="11.42578125" style="147"/>
  </cols>
  <sheetData>
    <row r="1" spans="1:17" x14ac:dyDescent="0.25">
      <c r="A1" s="569"/>
      <c r="B1" s="570"/>
      <c r="C1" s="570"/>
      <c r="D1" s="570"/>
      <c r="E1" s="570"/>
      <c r="F1" s="570"/>
      <c r="G1" s="570"/>
      <c r="H1" s="570"/>
      <c r="I1" s="570"/>
      <c r="J1" s="570"/>
      <c r="K1" s="570"/>
      <c r="L1" s="570"/>
      <c r="M1" s="570"/>
      <c r="N1" s="570"/>
      <c r="O1" s="571"/>
    </row>
    <row r="2" spans="1:17" x14ac:dyDescent="0.25">
      <c r="A2" s="572" t="s">
        <v>0</v>
      </c>
      <c r="B2" s="573" t="s">
        <v>37</v>
      </c>
      <c r="C2" s="573"/>
      <c r="D2" s="573"/>
      <c r="E2" s="573"/>
      <c r="F2" s="573"/>
      <c r="G2" s="574" t="s">
        <v>62</v>
      </c>
      <c r="H2" s="573"/>
      <c r="I2" s="573"/>
      <c r="J2" s="575" t="s">
        <v>1</v>
      </c>
      <c r="K2" s="576">
        <v>81</v>
      </c>
      <c r="L2" s="573"/>
      <c r="M2" s="572" t="s">
        <v>16</v>
      </c>
      <c r="N2" s="577">
        <f>N12+I17</f>
        <v>0.7197472800000001</v>
      </c>
      <c r="O2" s="578"/>
    </row>
    <row r="3" spans="1:17" x14ac:dyDescent="0.25">
      <c r="A3" s="572" t="s">
        <v>3</v>
      </c>
      <c r="B3" s="573" t="str">
        <f>'SU A0300'!B3</f>
        <v>Suspension &amp; Shocks</v>
      </c>
      <c r="C3" s="573"/>
      <c r="D3" s="572" t="s">
        <v>6</v>
      </c>
      <c r="E3" s="579" t="s">
        <v>60</v>
      </c>
      <c r="F3" s="573"/>
      <c r="G3" s="573"/>
      <c r="H3" s="573"/>
      <c r="I3" s="573"/>
      <c r="J3" s="573"/>
      <c r="K3" s="573"/>
      <c r="L3" s="573"/>
      <c r="M3" s="572" t="s">
        <v>4</v>
      </c>
      <c r="N3" s="580">
        <v>2</v>
      </c>
      <c r="O3" s="578"/>
    </row>
    <row r="4" spans="1:17" x14ac:dyDescent="0.25">
      <c r="A4" s="572" t="s">
        <v>5</v>
      </c>
      <c r="B4" s="574" t="s">
        <v>126</v>
      </c>
      <c r="C4" s="573"/>
      <c r="D4" s="572" t="s">
        <v>8</v>
      </c>
      <c r="E4" s="573"/>
      <c r="F4" s="573"/>
      <c r="G4" s="573"/>
      <c r="H4" s="573"/>
      <c r="I4" s="573"/>
      <c r="J4" s="581" t="s">
        <v>6</v>
      </c>
      <c r="K4" s="573"/>
      <c r="L4" s="573"/>
      <c r="M4" s="573"/>
      <c r="N4" s="573"/>
      <c r="O4" s="578"/>
    </row>
    <row r="5" spans="1:17" x14ac:dyDescent="0.25">
      <c r="A5" s="572" t="s">
        <v>15</v>
      </c>
      <c r="B5" s="582" t="s">
        <v>122</v>
      </c>
      <c r="C5" s="573"/>
      <c r="D5" s="572" t="s">
        <v>12</v>
      </c>
      <c r="E5" s="573"/>
      <c r="F5" s="573"/>
      <c r="G5" s="573"/>
      <c r="H5" s="573"/>
      <c r="I5" s="573"/>
      <c r="J5" s="581" t="s">
        <v>8</v>
      </c>
      <c r="K5" s="573"/>
      <c r="L5" s="573"/>
      <c r="M5" s="572" t="s">
        <v>9</v>
      </c>
      <c r="N5" s="577">
        <f>N3*N2</f>
        <v>1.4394945600000002</v>
      </c>
      <c r="O5" s="578"/>
    </row>
    <row r="6" spans="1:17" x14ac:dyDescent="0.25">
      <c r="A6" s="572" t="s">
        <v>7</v>
      </c>
      <c r="B6" s="583" t="s">
        <v>136</v>
      </c>
      <c r="C6" s="573"/>
      <c r="D6" s="573"/>
      <c r="E6" s="573"/>
      <c r="F6" s="573"/>
      <c r="G6" s="573"/>
      <c r="H6" s="573"/>
      <c r="I6" s="573"/>
      <c r="J6" s="581" t="s">
        <v>12</v>
      </c>
      <c r="K6" s="573"/>
      <c r="L6" s="573"/>
      <c r="M6" s="573"/>
      <c r="N6" s="573"/>
      <c r="O6" s="578"/>
    </row>
    <row r="7" spans="1:17" x14ac:dyDescent="0.25">
      <c r="A7" s="572" t="s">
        <v>10</v>
      </c>
      <c r="B7" s="573"/>
      <c r="C7" s="573"/>
      <c r="D7" s="573"/>
      <c r="E7" s="573"/>
      <c r="F7" s="573"/>
      <c r="G7" s="573"/>
      <c r="H7" s="573"/>
      <c r="I7" s="573"/>
      <c r="J7" s="573"/>
      <c r="K7" s="573"/>
      <c r="L7" s="573"/>
      <c r="M7" s="573"/>
      <c r="N7" s="573"/>
      <c r="O7" s="578"/>
    </row>
    <row r="8" spans="1:17" x14ac:dyDescent="0.25">
      <c r="A8" s="572" t="s">
        <v>13</v>
      </c>
      <c r="B8" s="573"/>
      <c r="C8" s="573"/>
      <c r="D8" s="573"/>
      <c r="E8" s="573"/>
      <c r="F8" s="573"/>
      <c r="G8" s="573"/>
      <c r="H8" s="573"/>
      <c r="I8" s="573"/>
      <c r="J8" s="573"/>
      <c r="K8" s="573"/>
      <c r="L8" s="573"/>
      <c r="M8" s="573"/>
      <c r="N8" s="573"/>
      <c r="O8" s="578"/>
    </row>
    <row r="9" spans="1:17" x14ac:dyDescent="0.25">
      <c r="A9" s="584"/>
      <c r="B9" s="585"/>
      <c r="C9" s="585"/>
      <c r="D9" s="585"/>
      <c r="E9" s="585"/>
      <c r="F9" s="573"/>
      <c r="G9" s="573"/>
      <c r="H9" s="573"/>
      <c r="I9" s="573"/>
      <c r="J9" s="573"/>
      <c r="K9" s="573"/>
      <c r="L9" s="573"/>
      <c r="M9" s="573"/>
      <c r="N9" s="573"/>
      <c r="O9" s="578"/>
    </row>
    <row r="10" spans="1:17" x14ac:dyDescent="0.25">
      <c r="A10" s="586" t="s">
        <v>14</v>
      </c>
      <c r="B10" s="587" t="s">
        <v>19</v>
      </c>
      <c r="C10" s="587" t="s">
        <v>20</v>
      </c>
      <c r="D10" s="587" t="s">
        <v>21</v>
      </c>
      <c r="E10" s="587" t="s">
        <v>22</v>
      </c>
      <c r="F10" s="588" t="s">
        <v>23</v>
      </c>
      <c r="G10" s="588" t="s">
        <v>24</v>
      </c>
      <c r="H10" s="588" t="s">
        <v>25</v>
      </c>
      <c r="I10" s="588" t="s">
        <v>26</v>
      </c>
      <c r="J10" s="588" t="s">
        <v>27</v>
      </c>
      <c r="K10" s="588" t="s">
        <v>28</v>
      </c>
      <c r="L10" s="588" t="s">
        <v>29</v>
      </c>
      <c r="M10" s="588" t="s">
        <v>17</v>
      </c>
      <c r="N10" s="588" t="s">
        <v>18</v>
      </c>
      <c r="O10" s="578"/>
    </row>
    <row r="11" spans="1:17" x14ac:dyDescent="0.25">
      <c r="A11" s="589">
        <v>10</v>
      </c>
      <c r="B11" s="590" t="s">
        <v>98</v>
      </c>
      <c r="C11" s="591" t="s">
        <v>38</v>
      </c>
      <c r="D11" s="592">
        <v>2.25</v>
      </c>
      <c r="E11" s="593">
        <f>J11*K11*L11/1000000000</f>
        <v>7.8876800000000011E-3</v>
      </c>
      <c r="F11" s="591" t="s">
        <v>94</v>
      </c>
      <c r="G11" s="591"/>
      <c r="H11" s="594"/>
      <c r="I11" s="595" t="s">
        <v>97</v>
      </c>
      <c r="J11" s="596">
        <f>3.14*8*8</f>
        <v>200.96</v>
      </c>
      <c r="K11" s="597">
        <v>5</v>
      </c>
      <c r="L11" s="598">
        <v>7850</v>
      </c>
      <c r="M11" s="599">
        <v>1</v>
      </c>
      <c r="N11" s="592">
        <f>D11*E11</f>
        <v>1.7747280000000004E-2</v>
      </c>
      <c r="O11" s="600"/>
      <c r="Q11" s="199"/>
    </row>
    <row r="12" spans="1:17" x14ac:dyDescent="0.25">
      <c r="A12" s="601"/>
      <c r="B12" s="602"/>
      <c r="C12" s="602"/>
      <c r="D12" s="602"/>
      <c r="E12" s="602"/>
      <c r="F12" s="602"/>
      <c r="G12" s="602"/>
      <c r="H12" s="602"/>
      <c r="I12" s="602"/>
      <c r="J12" s="602"/>
      <c r="K12" s="602"/>
      <c r="L12" s="602"/>
      <c r="M12" s="603" t="s">
        <v>18</v>
      </c>
      <c r="N12" s="604">
        <f>SUM(N11:N11)</f>
        <v>1.7747280000000004E-2</v>
      </c>
      <c r="O12" s="578"/>
    </row>
    <row r="13" spans="1:17" x14ac:dyDescent="0.25">
      <c r="A13" s="605"/>
      <c r="B13" s="573"/>
      <c r="C13" s="573"/>
      <c r="D13" s="573"/>
      <c r="E13" s="573"/>
      <c r="F13" s="573"/>
      <c r="G13" s="573"/>
      <c r="H13" s="573"/>
      <c r="I13" s="573"/>
      <c r="J13" s="573"/>
      <c r="K13" s="573"/>
      <c r="L13" s="573"/>
      <c r="M13" s="573"/>
      <c r="N13" s="573"/>
      <c r="O13" s="578"/>
    </row>
    <row r="14" spans="1:17" x14ac:dyDescent="0.25">
      <c r="A14" s="606" t="s">
        <v>14</v>
      </c>
      <c r="B14" s="588" t="s">
        <v>31</v>
      </c>
      <c r="C14" s="588" t="s">
        <v>20</v>
      </c>
      <c r="D14" s="588" t="s">
        <v>21</v>
      </c>
      <c r="E14" s="588" t="s">
        <v>32</v>
      </c>
      <c r="F14" s="588" t="s">
        <v>17</v>
      </c>
      <c r="G14" s="588" t="s">
        <v>33</v>
      </c>
      <c r="H14" s="588" t="s">
        <v>34</v>
      </c>
      <c r="I14" s="588" t="s">
        <v>18</v>
      </c>
      <c r="J14" s="602"/>
      <c r="K14" s="602"/>
      <c r="L14" s="602"/>
      <c r="M14" s="602"/>
      <c r="N14" s="602"/>
      <c r="O14" s="578"/>
    </row>
    <row r="15" spans="1:17" ht="30" x14ac:dyDescent="0.25">
      <c r="A15" s="607">
        <v>10</v>
      </c>
      <c r="B15" s="608" t="s">
        <v>39</v>
      </c>
      <c r="C15" s="609" t="s">
        <v>68</v>
      </c>
      <c r="D15" s="610">
        <v>1.3</v>
      </c>
      <c r="E15" s="608" t="s">
        <v>35</v>
      </c>
      <c r="F15" s="609">
        <v>1</v>
      </c>
      <c r="G15" s="609" t="s">
        <v>556</v>
      </c>
      <c r="H15" s="609">
        <f>1/2</f>
        <v>0.5</v>
      </c>
      <c r="I15" s="610">
        <f t="shared" ref="I15:I16" si="0">IF(H15="",D15*F15,D15*F15*H15)</f>
        <v>0.65</v>
      </c>
      <c r="J15" s="611"/>
      <c r="K15" s="611"/>
      <c r="L15" s="611"/>
      <c r="M15" s="611"/>
      <c r="N15" s="611"/>
      <c r="O15" s="612"/>
    </row>
    <row r="16" spans="1:17" x14ac:dyDescent="0.25">
      <c r="A16" s="613">
        <v>60</v>
      </c>
      <c r="B16" s="614" t="s">
        <v>92</v>
      </c>
      <c r="C16" s="379" t="s">
        <v>196</v>
      </c>
      <c r="D16" s="592">
        <v>0.04</v>
      </c>
      <c r="E16" s="608" t="s">
        <v>93</v>
      </c>
      <c r="F16" s="615">
        <v>1.3</v>
      </c>
      <c r="G16" s="615"/>
      <c r="H16" s="615"/>
      <c r="I16" s="592">
        <f t="shared" si="0"/>
        <v>5.2000000000000005E-2</v>
      </c>
      <c r="J16" s="573"/>
      <c r="K16" s="573"/>
      <c r="L16" s="573"/>
      <c r="M16" s="573"/>
      <c r="N16" s="573"/>
      <c r="O16" s="578"/>
    </row>
    <row r="17" spans="1:15" x14ac:dyDescent="0.25">
      <c r="A17" s="601"/>
      <c r="B17" s="602"/>
      <c r="C17" s="602"/>
      <c r="D17" s="602"/>
      <c r="E17" s="602"/>
      <c r="F17" s="602"/>
      <c r="G17" s="602"/>
      <c r="H17" s="616" t="s">
        <v>18</v>
      </c>
      <c r="I17" s="604">
        <f>SUM(I15:I16)</f>
        <v>0.70200000000000007</v>
      </c>
      <c r="J17" s="602"/>
      <c r="K17" s="602"/>
      <c r="L17" s="602"/>
      <c r="M17" s="602"/>
      <c r="N17" s="602"/>
      <c r="O17" s="578"/>
    </row>
    <row r="18" spans="1:15" ht="15.75" thickBot="1" x14ac:dyDescent="0.3">
      <c r="A18" s="617"/>
      <c r="B18" s="618"/>
      <c r="C18" s="618"/>
      <c r="D18" s="618"/>
      <c r="E18" s="618"/>
      <c r="F18" s="618"/>
      <c r="G18" s="618"/>
      <c r="H18" s="618"/>
      <c r="I18" s="618"/>
      <c r="J18" s="618"/>
      <c r="K18" s="618"/>
      <c r="L18" s="618"/>
      <c r="M18" s="618"/>
      <c r="N18" s="618"/>
      <c r="O18" s="619"/>
    </row>
  </sheetData>
  <hyperlinks>
    <hyperlink ref="B4" location="SU_A0300" display="Upper Back A-arm" xr:uid="{00000000-0004-0000-3200-000000000000}"/>
    <hyperlink ref="E3" location="dSU_03005" display="Drawing" xr:uid="{00000000-0004-0000-3200-000001000000}"/>
    <hyperlink ref="G2" location="SU_A0300_BOM" display="Back to BOM" xr:uid="{00000000-0004-0000-3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.28515625" style="147" customWidth="1"/>
    <col min="2" max="16384" width="11.42578125" style="147"/>
  </cols>
  <sheetData>
    <row r="1" spans="1:2" x14ac:dyDescent="0.25">
      <c r="A1" s="147" t="s">
        <v>99</v>
      </c>
      <c r="B1" s="210" t="str">
        <f>'SU 03005'!B6</f>
        <v>SU 03005</v>
      </c>
    </row>
  </sheetData>
  <hyperlinks>
    <hyperlink ref="B1" location="SU_03005" display="SU_03005" xr:uid="{00000000-0004-0000-3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tabColor rgb="FFFFFF66"/>
    <pageSetUpPr fitToPage="1"/>
  </sheetPr>
  <dimension ref="A1:P19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3" width="19.28515625" customWidth="1"/>
  </cols>
  <sheetData>
    <row r="1" spans="1:16" x14ac:dyDescent="0.25">
      <c r="A1" s="569"/>
      <c r="B1" s="570"/>
      <c r="C1" s="570"/>
      <c r="D1" s="570"/>
      <c r="E1" s="570"/>
      <c r="F1" s="570"/>
      <c r="G1" s="570"/>
      <c r="H1" s="570"/>
      <c r="I1" s="570"/>
      <c r="J1" s="570"/>
      <c r="K1" s="570"/>
      <c r="L1" s="570"/>
      <c r="M1" s="570"/>
      <c r="N1" s="570"/>
      <c r="O1" s="571"/>
      <c r="P1" s="147"/>
    </row>
    <row r="2" spans="1:16" x14ac:dyDescent="0.25">
      <c r="A2" s="572" t="s">
        <v>0</v>
      </c>
      <c r="B2" s="573" t="s">
        <v>37</v>
      </c>
      <c r="C2" s="573"/>
      <c r="D2" s="573"/>
      <c r="E2" s="573"/>
      <c r="F2" s="573"/>
      <c r="G2" s="574" t="s">
        <v>62</v>
      </c>
      <c r="H2" s="573"/>
      <c r="I2" s="573"/>
      <c r="J2" s="575" t="s">
        <v>1</v>
      </c>
      <c r="K2" s="576">
        <v>81</v>
      </c>
      <c r="L2" s="573"/>
      <c r="M2" s="572" t="s">
        <v>16</v>
      </c>
      <c r="N2" s="577">
        <f>N12+I17</f>
        <v>0.32421353411764708</v>
      </c>
      <c r="O2" s="578"/>
      <c r="P2" s="147"/>
    </row>
    <row r="3" spans="1:16" x14ac:dyDescent="0.25">
      <c r="A3" s="572" t="s">
        <v>3</v>
      </c>
      <c r="B3" s="573" t="str">
        <f>'SU A0300'!B3</f>
        <v>Suspension &amp; Shocks</v>
      </c>
      <c r="C3" s="573"/>
      <c r="D3" s="572" t="s">
        <v>6</v>
      </c>
      <c r="E3" s="579" t="s">
        <v>60</v>
      </c>
      <c r="F3" s="573"/>
      <c r="G3" s="573"/>
      <c r="H3" s="573"/>
      <c r="I3" s="573"/>
      <c r="J3" s="573"/>
      <c r="K3" s="573"/>
      <c r="L3" s="573"/>
      <c r="M3" s="572" t="s">
        <v>4</v>
      </c>
      <c r="N3" s="580">
        <v>4</v>
      </c>
      <c r="O3" s="578"/>
      <c r="P3" s="147"/>
    </row>
    <row r="4" spans="1:16" x14ac:dyDescent="0.25">
      <c r="A4" s="572" t="s">
        <v>5</v>
      </c>
      <c r="B4" s="574" t="s">
        <v>126</v>
      </c>
      <c r="C4" s="573"/>
      <c r="D4" s="572" t="s">
        <v>8</v>
      </c>
      <c r="E4" s="573"/>
      <c r="F4" s="573"/>
      <c r="G4" s="573"/>
      <c r="H4" s="573"/>
      <c r="I4" s="573"/>
      <c r="J4" s="581" t="s">
        <v>6</v>
      </c>
      <c r="K4" s="573"/>
      <c r="L4" s="573"/>
      <c r="M4" s="573"/>
      <c r="N4" s="573"/>
      <c r="O4" s="578"/>
      <c r="P4" s="147"/>
    </row>
    <row r="5" spans="1:16" x14ac:dyDescent="0.25">
      <c r="A5" s="572" t="s">
        <v>15</v>
      </c>
      <c r="B5" s="582" t="s">
        <v>121</v>
      </c>
      <c r="C5" s="573"/>
      <c r="D5" s="572" t="s">
        <v>12</v>
      </c>
      <c r="E5" s="573"/>
      <c r="F5" s="573"/>
      <c r="G5" s="573"/>
      <c r="H5" s="573"/>
      <c r="I5" s="573"/>
      <c r="J5" s="581" t="s">
        <v>8</v>
      </c>
      <c r="K5" s="573"/>
      <c r="L5" s="573"/>
      <c r="M5" s="572" t="s">
        <v>9</v>
      </c>
      <c r="N5" s="577">
        <f>N3*N2</f>
        <v>1.2968541364705883</v>
      </c>
      <c r="O5" s="578"/>
      <c r="P5" s="147"/>
    </row>
    <row r="6" spans="1:16" x14ac:dyDescent="0.25">
      <c r="A6" s="572" t="s">
        <v>7</v>
      </c>
      <c r="B6" s="583" t="s">
        <v>135</v>
      </c>
      <c r="C6" s="573"/>
      <c r="D6" s="573"/>
      <c r="E6" s="573"/>
      <c r="F6" s="573"/>
      <c r="G6" s="573"/>
      <c r="H6" s="573"/>
      <c r="I6" s="573"/>
      <c r="J6" s="581" t="s">
        <v>12</v>
      </c>
      <c r="K6" s="573"/>
      <c r="L6" s="573"/>
      <c r="M6" s="573"/>
      <c r="N6" s="573"/>
      <c r="O6" s="578"/>
      <c r="P6" s="147"/>
    </row>
    <row r="7" spans="1:16" x14ac:dyDescent="0.25">
      <c r="A7" s="572" t="s">
        <v>10</v>
      </c>
      <c r="B7" s="573"/>
      <c r="C7" s="573"/>
      <c r="D7" s="573"/>
      <c r="E7" s="573"/>
      <c r="F7" s="573"/>
      <c r="G7" s="573"/>
      <c r="H7" s="573"/>
      <c r="I7" s="573"/>
      <c r="J7" s="573"/>
      <c r="K7" s="573"/>
      <c r="L7" s="573"/>
      <c r="M7" s="573"/>
      <c r="N7" s="573"/>
      <c r="O7" s="578"/>
      <c r="P7" s="147"/>
    </row>
    <row r="8" spans="1:16" x14ac:dyDescent="0.25">
      <c r="A8" s="572" t="s">
        <v>13</v>
      </c>
      <c r="B8" s="573"/>
      <c r="C8" s="573"/>
      <c r="D8" s="573"/>
      <c r="E8" s="573"/>
      <c r="F8" s="573"/>
      <c r="G8" s="573"/>
      <c r="H8" s="573"/>
      <c r="I8" s="573"/>
      <c r="J8" s="573"/>
      <c r="K8" s="573"/>
      <c r="L8" s="573"/>
      <c r="M8" s="573"/>
      <c r="N8" s="573"/>
      <c r="O8" s="578"/>
      <c r="P8" s="147"/>
    </row>
    <row r="9" spans="1:16" x14ac:dyDescent="0.25">
      <c r="A9" s="584"/>
      <c r="B9" s="585"/>
      <c r="C9" s="585"/>
      <c r="D9" s="585"/>
      <c r="E9" s="585"/>
      <c r="F9" s="573"/>
      <c r="G9" s="573"/>
      <c r="H9" s="573"/>
      <c r="I9" s="573"/>
      <c r="J9" s="573"/>
      <c r="K9" s="573"/>
      <c r="L9" s="573"/>
      <c r="M9" s="573"/>
      <c r="N9" s="573"/>
      <c r="O9" s="578"/>
      <c r="P9" s="147"/>
    </row>
    <row r="10" spans="1:16" x14ac:dyDescent="0.25">
      <c r="A10" s="586" t="s">
        <v>14</v>
      </c>
      <c r="B10" s="587" t="s">
        <v>19</v>
      </c>
      <c r="C10" s="587" t="s">
        <v>20</v>
      </c>
      <c r="D10" s="587" t="s">
        <v>21</v>
      </c>
      <c r="E10" s="587" t="s">
        <v>22</v>
      </c>
      <c r="F10" s="588" t="s">
        <v>23</v>
      </c>
      <c r="G10" s="588" t="s">
        <v>24</v>
      </c>
      <c r="H10" s="588" t="s">
        <v>25</v>
      </c>
      <c r="I10" s="588" t="s">
        <v>26</v>
      </c>
      <c r="J10" s="588" t="s">
        <v>27</v>
      </c>
      <c r="K10" s="588" t="s">
        <v>28</v>
      </c>
      <c r="L10" s="588" t="s">
        <v>29</v>
      </c>
      <c r="M10" s="588" t="s">
        <v>17</v>
      </c>
      <c r="N10" s="588" t="s">
        <v>18</v>
      </c>
      <c r="O10" s="578"/>
      <c r="P10" s="147"/>
    </row>
    <row r="11" spans="1:16" x14ac:dyDescent="0.25">
      <c r="A11" s="305">
        <v>10</v>
      </c>
      <c r="B11" s="503" t="s">
        <v>204</v>
      </c>
      <c r="C11" s="551"/>
      <c r="D11" s="552">
        <v>2.25</v>
      </c>
      <c r="E11" s="356">
        <f>J11*K11*L11</f>
        <v>6.3101440000000009E-2</v>
      </c>
      <c r="F11" s="354" t="s">
        <v>94</v>
      </c>
      <c r="G11" s="354"/>
      <c r="H11" s="355"/>
      <c r="I11" s="356" t="s">
        <v>97</v>
      </c>
      <c r="J11" s="357">
        <f>3.14*8*8/1000000</f>
        <v>2.0096E-4</v>
      </c>
      <c r="K11" s="381">
        <v>0.04</v>
      </c>
      <c r="L11" s="359">
        <v>7850</v>
      </c>
      <c r="M11" s="360">
        <v>1</v>
      </c>
      <c r="N11" s="361">
        <f>D11*E11*M11</f>
        <v>0.14197824000000003</v>
      </c>
      <c r="O11" s="362"/>
    </row>
    <row r="12" spans="1:16" x14ac:dyDescent="0.25">
      <c r="A12" s="601"/>
      <c r="B12" s="602"/>
      <c r="C12" s="602"/>
      <c r="D12" s="602"/>
      <c r="E12" s="602"/>
      <c r="F12" s="602"/>
      <c r="G12" s="602"/>
      <c r="H12" s="602"/>
      <c r="I12" s="602"/>
      <c r="J12" s="602"/>
      <c r="K12" s="602"/>
      <c r="L12" s="602"/>
      <c r="M12" s="603" t="s">
        <v>18</v>
      </c>
      <c r="N12" s="604">
        <f>SUM(N11:N11)</f>
        <v>0.14197824000000003</v>
      </c>
      <c r="O12" s="578"/>
      <c r="P12" s="147"/>
    </row>
    <row r="13" spans="1:16" x14ac:dyDescent="0.25">
      <c r="A13" s="605"/>
      <c r="B13" s="573"/>
      <c r="C13" s="573"/>
      <c r="D13" s="573"/>
      <c r="E13" s="573"/>
      <c r="F13" s="573"/>
      <c r="G13" s="573"/>
      <c r="H13" s="573"/>
      <c r="I13" s="573"/>
      <c r="J13" s="573"/>
      <c r="K13" s="573"/>
      <c r="L13" s="573"/>
      <c r="M13" s="573"/>
      <c r="N13" s="573"/>
      <c r="O13" s="578"/>
      <c r="P13" s="147"/>
    </row>
    <row r="14" spans="1:16" x14ac:dyDescent="0.25">
      <c r="A14" s="606" t="s">
        <v>14</v>
      </c>
      <c r="B14" s="588" t="s">
        <v>31</v>
      </c>
      <c r="C14" s="588" t="s">
        <v>20</v>
      </c>
      <c r="D14" s="588" t="s">
        <v>21</v>
      </c>
      <c r="E14" s="588" t="s">
        <v>32</v>
      </c>
      <c r="F14" s="588" t="s">
        <v>17</v>
      </c>
      <c r="G14" s="588" t="s">
        <v>33</v>
      </c>
      <c r="H14" s="588" t="s">
        <v>34</v>
      </c>
      <c r="I14" s="588" t="s">
        <v>18</v>
      </c>
      <c r="J14" s="602"/>
      <c r="K14" s="602"/>
      <c r="L14" s="602"/>
      <c r="M14" s="602"/>
      <c r="N14" s="602"/>
      <c r="O14" s="578"/>
      <c r="P14" s="147"/>
    </row>
    <row r="15" spans="1:16" ht="46.15" customHeight="1" x14ac:dyDescent="0.25">
      <c r="A15" s="322">
        <v>10</v>
      </c>
      <c r="B15" s="322" t="s">
        <v>39</v>
      </c>
      <c r="C15" s="322" t="s">
        <v>68</v>
      </c>
      <c r="D15" s="327">
        <v>1.3</v>
      </c>
      <c r="E15" s="322" t="s">
        <v>32</v>
      </c>
      <c r="F15" s="227">
        <v>1</v>
      </c>
      <c r="G15" s="321" t="s">
        <v>551</v>
      </c>
      <c r="H15" s="1164">
        <v>2.9411764705882353E-2</v>
      </c>
      <c r="I15" s="329">
        <f>IF(H15="",D15*F15,D15*F15*H15)</f>
        <v>3.8235294117647062E-2</v>
      </c>
      <c r="J15" s="370"/>
      <c r="K15" s="370"/>
      <c r="L15" s="370"/>
      <c r="M15" s="370"/>
      <c r="N15" s="370"/>
      <c r="O15" s="371"/>
    </row>
    <row r="16" spans="1:16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1.2</v>
      </c>
      <c r="G16" s="379" t="s">
        <v>197</v>
      </c>
      <c r="H16" s="379">
        <v>3</v>
      </c>
      <c r="I16" s="329">
        <f>IF(H16="",D16*F16,D16*F16*H16)</f>
        <v>0.14400000000000002</v>
      </c>
      <c r="J16" s="335"/>
      <c r="K16" s="335"/>
      <c r="L16" s="335"/>
      <c r="M16" s="335"/>
      <c r="N16" s="335"/>
      <c r="O16" s="340"/>
    </row>
    <row r="17" spans="1:16" x14ac:dyDescent="0.25">
      <c r="A17" s="601"/>
      <c r="B17" s="602"/>
      <c r="C17" s="602"/>
      <c r="D17" s="602"/>
      <c r="E17" s="602"/>
      <c r="F17" s="602"/>
      <c r="G17" s="602"/>
      <c r="H17" s="616" t="s">
        <v>18</v>
      </c>
      <c r="I17" s="604">
        <f>SUM(I15:I16)</f>
        <v>0.18223529411764708</v>
      </c>
      <c r="J17" s="602"/>
      <c r="K17" s="602"/>
      <c r="L17" s="602"/>
      <c r="M17" s="602"/>
      <c r="N17" s="602"/>
      <c r="O17" s="578"/>
      <c r="P17" s="147"/>
    </row>
    <row r="18" spans="1:16" ht="15.75" thickBot="1" x14ac:dyDescent="0.3">
      <c r="A18" s="617"/>
      <c r="B18" s="618"/>
      <c r="C18" s="618"/>
      <c r="D18" s="618"/>
      <c r="E18" s="618"/>
      <c r="F18" s="618"/>
      <c r="G18" s="618"/>
      <c r="H18" s="618"/>
      <c r="I18" s="618"/>
      <c r="J18" s="618"/>
      <c r="K18" s="618"/>
      <c r="L18" s="618"/>
      <c r="M18" s="618"/>
      <c r="N18" s="618"/>
      <c r="O18" s="619"/>
      <c r="P18" s="147"/>
    </row>
    <row r="19" spans="1:16" x14ac:dyDescent="0.25">
      <c r="A19" s="147"/>
      <c r="B19" s="147"/>
      <c r="C19" s="147"/>
      <c r="D19" s="147"/>
      <c r="E19" s="147"/>
      <c r="F19" s="147"/>
      <c r="G19" s="147"/>
      <c r="H19" s="147"/>
      <c r="I19" s="147"/>
      <c r="J19" s="147"/>
      <c r="K19" s="147"/>
      <c r="L19" s="147"/>
      <c r="M19" s="147"/>
      <c r="N19" s="147"/>
      <c r="O19" s="147"/>
      <c r="P19" s="147"/>
    </row>
  </sheetData>
  <hyperlinks>
    <hyperlink ref="G2" location="SU_A0300_BOM" display="Back to BOM" xr:uid="{00000000-0004-0000-3400-000000000000}"/>
    <hyperlink ref="E3" location="dSU_03006" display="Drawing" xr:uid="{00000000-0004-0000-3400-000001000000}"/>
    <hyperlink ref="B4" location="SU_A0300" display="Upper Back A-arm" xr:uid="{00000000-0004-0000-3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42578125" customWidth="1"/>
  </cols>
  <sheetData>
    <row r="1" spans="1:2" x14ac:dyDescent="0.25">
      <c r="A1" s="147" t="s">
        <v>99</v>
      </c>
      <c r="B1" s="210" t="s">
        <v>138</v>
      </c>
    </row>
  </sheetData>
  <hyperlinks>
    <hyperlink ref="B1" location="SU_03006" display="=SU_03006" xr:uid="{00000000-0004-0000-3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8.7109375" style="147" customWidth="1"/>
    <col min="3" max="3" width="24.28515625" style="147" customWidth="1"/>
    <col min="4" max="8" width="11.42578125" style="147"/>
    <col min="9" max="9" width="15.28515625" style="147" customWidth="1"/>
    <col min="10" max="16" width="11.42578125" style="147"/>
    <col min="17" max="17" width="12.85546875" style="147" bestFit="1" customWidth="1"/>
    <col min="18" max="16384" width="11.42578125" style="147"/>
  </cols>
  <sheetData>
    <row r="1" spans="1:17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7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0.47719727680000001</v>
      </c>
      <c r="O2" s="152"/>
    </row>
    <row r="3" spans="1:17" x14ac:dyDescent="0.25">
      <c r="A3" s="184" t="s">
        <v>3</v>
      </c>
      <c r="B3" s="149" t="str">
        <f>'SU A0300'!B3</f>
        <v>Suspension &amp; Shocks</v>
      </c>
      <c r="C3" s="150"/>
      <c r="D3" s="184" t="s">
        <v>6</v>
      </c>
      <c r="E3" s="88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2</v>
      </c>
      <c r="O3" s="152"/>
    </row>
    <row r="4" spans="1:17" x14ac:dyDescent="0.25">
      <c r="A4" s="184" t="s">
        <v>5</v>
      </c>
      <c r="B4" s="87" t="s">
        <v>126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7" x14ac:dyDescent="0.25">
      <c r="A5" s="184" t="s">
        <v>15</v>
      </c>
      <c r="B5" s="157" t="s">
        <v>69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0.95439455360000003</v>
      </c>
      <c r="O5" s="152"/>
    </row>
    <row r="6" spans="1:17" x14ac:dyDescent="0.25">
      <c r="A6" s="184" t="s">
        <v>7</v>
      </c>
      <c r="B6" s="187" t="s">
        <v>134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7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7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7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7" customFormat="1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7" s="176" customFormat="1" ht="30.6" customHeight="1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386">
        <v>12</v>
      </c>
      <c r="F11" s="383" t="s">
        <v>30</v>
      </c>
      <c r="G11" s="383"/>
      <c r="H11" s="387"/>
      <c r="I11" s="388" t="s">
        <v>549</v>
      </c>
      <c r="J11" s="389">
        <f>3.14*0.006^2</f>
        <v>1.1304E-4</v>
      </c>
      <c r="K11" s="390">
        <v>0.06</v>
      </c>
      <c r="L11" s="395">
        <v>2710</v>
      </c>
      <c r="M11" s="391">
        <v>1</v>
      </c>
      <c r="N11" s="329">
        <f>IF(J11="",D11*M11,D11*J11*K11*L11*M11)</f>
        <v>7.7197276800000006E-2</v>
      </c>
      <c r="O11" s="396"/>
    </row>
    <row r="12" spans="1:17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7.7197276800000006E-2</v>
      </c>
      <c r="O12" s="152"/>
    </row>
    <row r="13" spans="1:17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Q13" s="199"/>
    </row>
    <row r="14" spans="1:17" customFormat="1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customFormat="1" x14ac:dyDescent="0.25">
      <c r="A15" s="325">
        <v>10</v>
      </c>
      <c r="B15" s="322" t="s">
        <v>199</v>
      </c>
      <c r="C15" s="392"/>
      <c r="D15" s="393">
        <v>0.4</v>
      </c>
      <c r="E15" s="325" t="s">
        <v>40</v>
      </c>
      <c r="F15" s="325">
        <v>1</v>
      </c>
      <c r="G15" s="325"/>
      <c r="H15" s="325"/>
      <c r="I15" s="394">
        <f>IF(H15="",D15*F15,D15*F15*H15)</f>
        <v>0.4</v>
      </c>
      <c r="J15" s="370"/>
      <c r="K15" s="370"/>
      <c r="L15" s="370"/>
      <c r="M15" s="370"/>
      <c r="N15" s="370"/>
      <c r="O15" s="371"/>
    </row>
    <row r="16" spans="1:17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0.4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E3" location="dSU_03007" display="Drawing" xr:uid="{00000000-0004-0000-3600-000000000000}"/>
    <hyperlink ref="G2" location="SU_A0300_BOM" display="Back to BOM" xr:uid="{00000000-0004-0000-3600-000001000000}"/>
    <hyperlink ref="B4" location="SU_A0300" display="Upper Back A-arm" xr:uid="{00000000-0004-0000-36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0" style="147" customWidth="1"/>
    <col min="2" max="16384" width="11.42578125" style="147"/>
  </cols>
  <sheetData>
    <row r="1" spans="1:2" x14ac:dyDescent="0.25">
      <c r="A1" s="147" t="s">
        <v>99</v>
      </c>
      <c r="B1" s="210" t="str">
        <f>'SU 03007'!B6</f>
        <v>SU 03007</v>
      </c>
    </row>
  </sheetData>
  <hyperlinks>
    <hyperlink ref="B1" location="SU_03007" display="SU_03007" xr:uid="{00000000-0004-0000-37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tToHeight="99" orientation="landscape" r:id="rId1"/>
  <headerFooter>
    <oddFooter>Page &amp;P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9.5703125" customWidth="1"/>
    <col min="3" max="3" width="20" customWidth="1"/>
    <col min="6" max="6" width="10.710937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1.4969516249999999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126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215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1.4969516249999999</v>
      </c>
      <c r="O5" s="416"/>
    </row>
    <row r="6" spans="1:15" x14ac:dyDescent="0.25">
      <c r="A6" s="413" t="s">
        <v>7</v>
      </c>
      <c r="B6" s="419" t="s">
        <v>255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45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7.1670500000000012E-2</v>
      </c>
      <c r="F11" s="425" t="s">
        <v>141</v>
      </c>
      <c r="G11" s="425"/>
      <c r="H11" s="426"/>
      <c r="I11" s="427" t="s">
        <v>250</v>
      </c>
      <c r="J11" s="428">
        <f>0.083*0.022</f>
        <v>1.8259999999999999E-3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0.16125862500000002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3.6519999999999999E-3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3.6519999999999997E-2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0.19777862500000001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0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18.5</v>
      </c>
      <c r="G17" s="433"/>
      <c r="H17" s="436"/>
      <c r="I17" s="437">
        <f>IF(H17="",D17*F17,D17*F17*H17)</f>
        <v>0.185</v>
      </c>
      <c r="J17" s="294"/>
      <c r="K17" s="397"/>
      <c r="L17" s="397"/>
      <c r="M17" s="397"/>
      <c r="N17" s="397"/>
      <c r="O17" s="416"/>
    </row>
    <row r="18" spans="1:15" ht="31.15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3.6519999999999999E-3</v>
      </c>
      <c r="G20" s="433"/>
      <c r="H20" s="436"/>
      <c r="I20" s="444">
        <f>F20*D20</f>
        <v>1.9172999999999999E-2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1.2991729999999999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F2" location="SU_A0300_BOM" display="Back to BOM" xr:uid="{00000000-0004-0000-3800-000000000000}"/>
    <hyperlink ref="E3" location="dSU_03008" display="Drawing" xr:uid="{00000000-0004-0000-3800-000001000000}"/>
    <hyperlink ref="B4" location="SU_A0300" display="Upper Back A-arm" xr:uid="{00000000-0004-0000-3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239</v>
      </c>
    </row>
  </sheetData>
  <hyperlinks>
    <hyperlink ref="B1" location="SU_03008" display="SU_03008" xr:uid="{00000000-0004-0000-3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6.7109375" customWidth="1"/>
    <col min="3" max="3" width="17.285156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1.49211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126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216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1.49211</v>
      </c>
      <c r="O5" s="416"/>
    </row>
    <row r="6" spans="1:15" x14ac:dyDescent="0.25">
      <c r="A6" s="413" t="s">
        <v>7</v>
      </c>
      <c r="B6" s="419" t="s">
        <v>256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45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6.9079999999999989E-2</v>
      </c>
      <c r="F11" s="425" t="s">
        <v>141</v>
      </c>
      <c r="G11" s="425"/>
      <c r="H11" s="426"/>
      <c r="I11" s="427" t="s">
        <v>251</v>
      </c>
      <c r="J11" s="428">
        <f>0.08*0.022</f>
        <v>1.7599999999999998E-3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0.15543000000000001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3.5199999999999997E-3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3.5199999999999995E-2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0.19063000000000002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2.450000000000003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18.8</v>
      </c>
      <c r="G17" s="433"/>
      <c r="H17" s="436"/>
      <c r="I17" s="437">
        <f>IF(H17="",D17*F17,D17*F17*H17)</f>
        <v>0.188</v>
      </c>
      <c r="J17" s="294"/>
      <c r="K17" s="397"/>
      <c r="L17" s="397"/>
      <c r="M17" s="397"/>
      <c r="N17" s="397"/>
      <c r="O17" s="416"/>
    </row>
    <row r="18" spans="1:15" ht="6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3.5199999999999997E-3</v>
      </c>
      <c r="G20" s="433"/>
      <c r="H20" s="436"/>
      <c r="I20" s="444">
        <f>F20*D20</f>
        <v>1.848E-2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1.30148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F2" location="SU_A0300_BOM" display="Back to BOM" xr:uid="{00000000-0004-0000-3A00-000000000000}"/>
    <hyperlink ref="E3" location="dSU_03009" display="Drawing" xr:uid="{00000000-0004-0000-3A00-000001000000}"/>
    <hyperlink ref="B4" location="SU_A0300" display="Upper Back A-arm" xr:uid="{00000000-0004-0000-3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FF66"/>
    <pageSetUpPr fitToPage="1"/>
  </sheetPr>
  <dimension ref="A1:B6"/>
  <sheetViews>
    <sheetView zoomScaleNormal="100" zoomScalePageLayoutView="70" workbookViewId="0">
      <selection activeCell="M8" sqref="M8"/>
    </sheetView>
  </sheetViews>
  <sheetFormatPr baseColWidth="10" defaultRowHeight="15" x14ac:dyDescent="0.25"/>
  <cols>
    <col min="1" max="1" width="18.85546875" customWidth="1"/>
  </cols>
  <sheetData>
    <row r="1" spans="1:2" x14ac:dyDescent="0.25">
      <c r="A1" t="s">
        <v>99</v>
      </c>
      <c r="B1" s="88" t="s">
        <v>100</v>
      </c>
    </row>
    <row r="6" spans="1:2" x14ac:dyDescent="0.25">
      <c r="B6" s="134"/>
    </row>
  </sheetData>
  <hyperlinks>
    <hyperlink ref="B1" location="SU_01002" display="SU_01002" xr:uid="{00000000-0004-0000-0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240</v>
      </c>
    </row>
  </sheetData>
  <hyperlinks>
    <hyperlink ref="B1" location="SU_03009" display="SU_03009" xr:uid="{00000000-0004-0000-3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sheetPr>
    <tabColor rgb="FFFFFF66"/>
    <pageSetUpPr fitToPage="1"/>
  </sheetPr>
  <dimension ref="A1:O22"/>
  <sheetViews>
    <sheetView zoomScaleNormal="100" zoomScalePageLayoutView="70" workbookViewId="0">
      <selection activeCell="F2" sqref="F2"/>
    </sheetView>
  </sheetViews>
  <sheetFormatPr baseColWidth="10" defaultRowHeight="15" x14ac:dyDescent="0.25"/>
  <cols>
    <col min="2" max="2" width="17.7109375" customWidth="1"/>
    <col min="3" max="3" width="14.5703125" customWidth="1"/>
    <col min="9" max="9" width="13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1.2680301249999999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126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217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1.2680301249999999</v>
      </c>
      <c r="O5" s="416"/>
    </row>
    <row r="6" spans="1:15" x14ac:dyDescent="0.25">
      <c r="A6" s="413" t="s">
        <v>7</v>
      </c>
      <c r="B6" s="419" t="s">
        <v>257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28.15" customHeight="1" x14ac:dyDescent="0.25">
      <c r="A11" s="420">
        <v>10</v>
      </c>
      <c r="B11" s="421" t="s">
        <v>204</v>
      </c>
      <c r="C11" s="620" t="s">
        <v>205</v>
      </c>
      <c r="D11" s="423">
        <v>2.25</v>
      </c>
      <c r="E11" s="424">
        <f>J11*K11*L11</f>
        <v>2.6768500000000001E-2</v>
      </c>
      <c r="F11" s="425" t="s">
        <v>141</v>
      </c>
      <c r="G11" s="425"/>
      <c r="H11" s="426"/>
      <c r="I11" s="427" t="s">
        <v>252</v>
      </c>
      <c r="J11" s="428">
        <f>0.031*0.022</f>
        <v>6.8199999999999999E-4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6.0229125000000001E-2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1.364E-3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1.3639999999999999E-2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7.3869125000000008E-2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3" customHeight="1" x14ac:dyDescent="0.25">
      <c r="A16" s="432">
        <v>10</v>
      </c>
      <c r="B16" s="433" t="s">
        <v>39</v>
      </c>
      <c r="C16" s="434" t="s">
        <v>238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9.1999999999999993</v>
      </c>
      <c r="G17" s="433"/>
      <c r="H17" s="436"/>
      <c r="I17" s="437">
        <f>IF(H17="",D17*F17,D17*F17*H17)</f>
        <v>9.1999999999999998E-2</v>
      </c>
      <c r="J17" s="294"/>
      <c r="K17" s="397"/>
      <c r="L17" s="397"/>
      <c r="M17" s="397"/>
      <c r="N17" s="397"/>
      <c r="O17" s="416"/>
    </row>
    <row r="18" spans="1:15" ht="6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1.364E-3</v>
      </c>
      <c r="G20" s="433"/>
      <c r="H20" s="436"/>
      <c r="I20" s="444">
        <f>F20*D20</f>
        <v>7.1609999999999998E-3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1.1941609999999998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F2" location="SU_A0300_BOM" display="Back to BOM" xr:uid="{00000000-0004-0000-3C00-000000000000}"/>
    <hyperlink ref="E3" location="dSU_03010" display="Drawing" xr:uid="{00000000-0004-0000-3C00-000001000000}"/>
    <hyperlink ref="B4" location="SU_A0300" display="Upper Back A-arm" xr:uid="{00000000-0004-0000-3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241</v>
      </c>
    </row>
  </sheetData>
  <hyperlinks>
    <hyperlink ref="B1" location="SU_03010" display="SU_03010" xr:uid="{00000000-0004-0000-3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7109375" customWidth="1"/>
    <col min="3" max="3" width="17.28515625" customWidth="1"/>
    <col min="7" max="7" width="16.1406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6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1.3787631249999999</v>
      </c>
      <c r="O2" s="416"/>
    </row>
    <row r="3" spans="1:15" x14ac:dyDescent="0.25">
      <c r="A3" s="413" t="s">
        <v>3</v>
      </c>
      <c r="B3" s="16" t="str">
        <f>'SU A0200'!B3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126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218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1.3787631249999999</v>
      </c>
      <c r="O5" s="416"/>
    </row>
    <row r="6" spans="1:15" x14ac:dyDescent="0.25">
      <c r="A6" s="413" t="s">
        <v>7</v>
      </c>
      <c r="B6" s="419" t="s">
        <v>254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45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4.74925E-2</v>
      </c>
      <c r="F11" s="425" t="s">
        <v>141</v>
      </c>
      <c r="G11" s="425"/>
      <c r="H11" s="426"/>
      <c r="I11" s="427" t="s">
        <v>253</v>
      </c>
      <c r="J11" s="428">
        <f>0.055*0.022</f>
        <v>1.2099999999999999E-3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0.10685812499999998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2.4199999999999998E-3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2.4199999999999999E-2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0.13105812499999997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28.15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14</v>
      </c>
      <c r="G17" s="433"/>
      <c r="H17" s="436"/>
      <c r="I17" s="437">
        <f>IF(H17="",D17*F17,D17*F17*H17)</f>
        <v>0.14000000000000001</v>
      </c>
      <c r="J17" s="294"/>
      <c r="K17" s="397"/>
      <c r="L17" s="397"/>
      <c r="M17" s="397"/>
      <c r="N17" s="397"/>
      <c r="O17" s="416"/>
    </row>
    <row r="18" spans="1:15" ht="28.9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ht="13.15" customHeight="1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2.4199999999999998E-3</v>
      </c>
      <c r="G20" s="433"/>
      <c r="H20" s="436"/>
      <c r="I20" s="444">
        <f>F20*D20</f>
        <v>1.2704999999999999E-2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1.2477049999999998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F2" location="SU_A0300_BOM" display="Back to BOM" xr:uid="{00000000-0004-0000-3E00-000000000000}"/>
    <hyperlink ref="E3" location="dSU_03011" display="Drawing" xr:uid="{00000000-0004-0000-3E00-000001000000}"/>
    <hyperlink ref="B4" location="SU_A0300" display="Upper Back A-arm" xr:uid="{00000000-0004-0000-3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242</v>
      </c>
    </row>
  </sheetData>
  <hyperlinks>
    <hyperlink ref="B1" location="SU_03011" display="SU_03011" xr:uid="{00000000-0004-0000-3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tabColor rgb="FFFFFF00"/>
    <pageSetUpPr fitToPage="1"/>
  </sheetPr>
  <dimension ref="A1:O64"/>
  <sheetViews>
    <sheetView zoomScale="70" zoomScaleNormal="70" zoomScaleSheetLayoutView="80" zoomScalePageLayoutView="70" workbookViewId="0">
      <selection activeCell="B18" sqref="B18"/>
    </sheetView>
  </sheetViews>
  <sheetFormatPr baseColWidth="10" defaultColWidth="9.140625" defaultRowHeight="15" x14ac:dyDescent="0.25"/>
  <cols>
    <col min="1" max="1" width="9.140625" style="147"/>
    <col min="2" max="2" width="57.140625" style="147" customWidth="1"/>
    <col min="3" max="3" width="55.7109375" style="147" customWidth="1"/>
    <col min="4" max="4" width="10.7109375" style="147" customWidth="1"/>
    <col min="5" max="13" width="9.140625" style="147"/>
    <col min="14" max="14" width="11.5703125" style="147" customWidth="1"/>
    <col min="15" max="15" width="5.28515625" style="147" customWidth="1"/>
    <col min="16" max="16384" width="9.1406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48" t="s">
        <v>0</v>
      </c>
      <c r="B2" s="149" t="s">
        <v>37</v>
      </c>
      <c r="C2" s="150"/>
      <c r="D2" s="150"/>
      <c r="E2" s="87" t="s">
        <v>62</v>
      </c>
      <c r="F2" s="150"/>
      <c r="G2" s="150"/>
      <c r="H2" s="150"/>
      <c r="I2" s="150"/>
      <c r="J2" s="148" t="s">
        <v>1</v>
      </c>
      <c r="K2" s="151">
        <v>81</v>
      </c>
      <c r="L2" s="150"/>
      <c r="M2" s="148" t="s">
        <v>2</v>
      </c>
      <c r="N2" s="92">
        <f>SU_A0400_pa+SU_A0400_m+SU_A0400_p+SU_A0400_f</f>
        <v>83.303985548954586</v>
      </c>
      <c r="O2" s="152"/>
    </row>
    <row r="3" spans="1:15" x14ac:dyDescent="0.25">
      <c r="A3" s="148" t="s">
        <v>3</v>
      </c>
      <c r="B3" s="149" t="s">
        <v>63</v>
      </c>
      <c r="C3" s="150"/>
      <c r="D3" s="150"/>
      <c r="E3" s="150"/>
      <c r="F3" s="150"/>
      <c r="G3" s="150"/>
      <c r="H3" s="150"/>
      <c r="I3" s="150"/>
      <c r="J3" s="150"/>
      <c r="K3" s="150"/>
      <c r="L3" s="150"/>
      <c r="M3" s="148" t="s">
        <v>4</v>
      </c>
      <c r="N3" s="82">
        <v>2</v>
      </c>
      <c r="O3" s="152"/>
    </row>
    <row r="4" spans="1:15" x14ac:dyDescent="0.25">
      <c r="A4" s="148" t="s">
        <v>5</v>
      </c>
      <c r="B4" s="153" t="s">
        <v>142</v>
      </c>
      <c r="C4" s="150"/>
      <c r="D4" s="150"/>
      <c r="E4" s="150"/>
      <c r="F4" s="150"/>
      <c r="G4" s="150"/>
      <c r="H4" s="150"/>
      <c r="I4" s="150"/>
      <c r="J4" s="154" t="s">
        <v>6</v>
      </c>
      <c r="K4" s="150"/>
      <c r="L4" s="150"/>
      <c r="M4" s="150"/>
      <c r="N4" s="150"/>
      <c r="O4" s="152"/>
    </row>
    <row r="5" spans="1:15" x14ac:dyDescent="0.25">
      <c r="A5" s="148" t="s">
        <v>7</v>
      </c>
      <c r="B5" s="155" t="s">
        <v>143</v>
      </c>
      <c r="C5" s="150"/>
      <c r="D5" s="150"/>
      <c r="E5" s="150"/>
      <c r="F5" s="150"/>
      <c r="G5" s="150"/>
      <c r="H5" s="150"/>
      <c r="I5" s="150"/>
      <c r="J5" s="154" t="s">
        <v>8</v>
      </c>
      <c r="K5" s="150"/>
      <c r="L5" s="150"/>
      <c r="M5" s="148" t="s">
        <v>9</v>
      </c>
      <c r="N5" s="74">
        <f>N2*N3</f>
        <v>166.60797109790917</v>
      </c>
      <c r="O5" s="152"/>
    </row>
    <row r="6" spans="1:15" x14ac:dyDescent="0.25">
      <c r="A6" s="148" t="s">
        <v>10</v>
      </c>
      <c r="B6" s="149"/>
      <c r="C6" s="150"/>
      <c r="D6" s="150"/>
      <c r="E6" s="150"/>
      <c r="F6" s="150"/>
      <c r="G6" s="150"/>
      <c r="H6" s="150"/>
      <c r="I6" s="150"/>
      <c r="J6" s="154" t="s">
        <v>12</v>
      </c>
      <c r="K6" s="150"/>
      <c r="L6" s="150"/>
      <c r="M6" s="150"/>
      <c r="N6" s="150"/>
      <c r="O6" s="152"/>
    </row>
    <row r="7" spans="1:15" x14ac:dyDescent="0.25">
      <c r="A7" s="148" t="s">
        <v>13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56"/>
      <c r="B8" s="150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48" t="s">
        <v>14</v>
      </c>
      <c r="B9" s="148" t="s">
        <v>15</v>
      </c>
      <c r="C9" s="148" t="s">
        <v>16</v>
      </c>
      <c r="D9" s="148" t="s">
        <v>17</v>
      </c>
      <c r="E9" s="148" t="s">
        <v>18</v>
      </c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57">
        <v>10</v>
      </c>
      <c r="B10" s="86" t="str">
        <f>'SU 04001'!B5</f>
        <v>Lower Back Bearing Support</v>
      </c>
      <c r="C10" s="74">
        <f>'SU 04001'!N2</f>
        <v>8.9540000000000006</v>
      </c>
      <c r="D10" s="158">
        <f>SU_04001_q</f>
        <v>1</v>
      </c>
      <c r="E10" s="74">
        <f t="shared" ref="E10:E20" si="0">C10*D10</f>
        <v>8.9540000000000006</v>
      </c>
      <c r="F10" s="150"/>
      <c r="G10" s="150"/>
      <c r="H10" s="150"/>
      <c r="I10" s="150"/>
      <c r="J10" s="150"/>
      <c r="K10" s="150"/>
      <c r="L10" s="150"/>
      <c r="M10" s="150"/>
      <c r="N10" s="150"/>
      <c r="O10" s="152"/>
    </row>
    <row r="11" spans="1:15" x14ac:dyDescent="0.25">
      <c r="A11" s="157">
        <v>20</v>
      </c>
      <c r="B11" s="86" t="str">
        <f>'SU 04002'!B5</f>
        <v>Inner Bearing Support</v>
      </c>
      <c r="C11" s="74">
        <f>'SU 04002'!N2</f>
        <v>1.8728805440000003</v>
      </c>
      <c r="D11" s="158">
        <f>SU_04002_q</f>
        <v>2</v>
      </c>
      <c r="E11" s="74">
        <f t="shared" si="0"/>
        <v>3.7457610880000005</v>
      </c>
      <c r="F11" s="153"/>
      <c r="G11" s="153"/>
      <c r="H11" s="153"/>
      <c r="I11" s="153"/>
      <c r="J11" s="153"/>
      <c r="K11" s="153"/>
      <c r="L11" s="153"/>
      <c r="M11" s="153"/>
      <c r="N11" s="153"/>
      <c r="O11" s="152"/>
    </row>
    <row r="12" spans="1:15" x14ac:dyDescent="0.25">
      <c r="A12" s="157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58">
        <f>SU_04003_q</f>
        <v>1</v>
      </c>
      <c r="E12" s="74">
        <f t="shared" si="0"/>
        <v>12.033390599999997</v>
      </c>
      <c r="F12" s="153"/>
      <c r="G12" s="153"/>
      <c r="H12" s="153"/>
      <c r="I12" s="153"/>
      <c r="J12" s="153"/>
      <c r="K12" s="153"/>
      <c r="L12" s="153"/>
      <c r="M12" s="153"/>
      <c r="N12" s="153"/>
      <c r="O12" s="64"/>
    </row>
    <row r="13" spans="1:15" s="159" customFormat="1" x14ac:dyDescent="0.25">
      <c r="A13" s="157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58">
        <f>SU_04004_q</f>
        <v>1</v>
      </c>
      <c r="E13" s="74">
        <f t="shared" si="0"/>
        <v>7.4075677199999985</v>
      </c>
      <c r="F13" s="153"/>
      <c r="G13" s="153"/>
      <c r="H13" s="153"/>
      <c r="I13" s="153"/>
      <c r="J13" s="153"/>
      <c r="K13" s="153"/>
      <c r="L13" s="153"/>
      <c r="M13" s="153"/>
      <c r="N13" s="153"/>
      <c r="O13" s="64"/>
    </row>
    <row r="14" spans="1:15" s="159" customFormat="1" x14ac:dyDescent="0.25">
      <c r="A14" s="157">
        <v>50</v>
      </c>
      <c r="B14" s="86" t="str">
        <f>'SU 04005'!B5</f>
        <v>Spacer 1</v>
      </c>
      <c r="C14" s="74">
        <f>'SU 04005'!N2</f>
        <v>1.6276857568</v>
      </c>
      <c r="D14" s="158">
        <f>SU_04005_q</f>
        <v>2</v>
      </c>
      <c r="E14" s="74">
        <f t="shared" si="0"/>
        <v>3.2553715136000001</v>
      </c>
      <c r="F14" s="153"/>
      <c r="G14" s="153"/>
      <c r="H14" s="153"/>
      <c r="I14" s="153"/>
      <c r="J14" s="153"/>
      <c r="K14" s="153"/>
      <c r="L14" s="153"/>
      <c r="M14" s="153"/>
      <c r="N14" s="153"/>
      <c r="O14" s="160"/>
    </row>
    <row r="15" spans="1:15" s="159" customFormat="1" x14ac:dyDescent="0.25">
      <c r="A15" s="157">
        <v>60</v>
      </c>
      <c r="B15" s="86" t="str">
        <f>'SU 04006'!B5</f>
        <v>Spacer 2</v>
      </c>
      <c r="C15" s="74">
        <f>'SU 04006'!N2</f>
        <v>0.80517824000000005</v>
      </c>
      <c r="D15" s="158">
        <f>SU_04006_q</f>
        <v>4</v>
      </c>
      <c r="E15" s="74">
        <f t="shared" si="0"/>
        <v>3.2207129600000002</v>
      </c>
      <c r="F15" s="153"/>
      <c r="G15" s="153"/>
      <c r="H15" s="153"/>
      <c r="I15" s="153"/>
      <c r="J15" s="153"/>
      <c r="K15" s="153"/>
      <c r="L15" s="153"/>
      <c r="M15" s="153"/>
      <c r="N15" s="153"/>
      <c r="O15" s="160"/>
    </row>
    <row r="16" spans="1:15" s="159" customFormat="1" x14ac:dyDescent="0.25">
      <c r="A16" s="157">
        <v>70</v>
      </c>
      <c r="B16" s="86" t="str">
        <f>'SU 04007'!B5</f>
        <v>Outboard A-arm Insert</v>
      </c>
      <c r="C16" s="74">
        <f>'SU 04007'!N2</f>
        <v>0.47719727680000001</v>
      </c>
      <c r="D16" s="158">
        <f>SU_04007_q</f>
        <v>2</v>
      </c>
      <c r="E16" s="74">
        <f t="shared" si="0"/>
        <v>0.95439455360000003</v>
      </c>
      <c r="F16" s="153"/>
      <c r="G16" s="153"/>
      <c r="H16" s="153"/>
      <c r="I16" s="153"/>
      <c r="J16" s="153"/>
      <c r="K16" s="153"/>
      <c r="L16" s="153"/>
      <c r="M16" s="153"/>
      <c r="N16" s="153"/>
      <c r="O16" s="160"/>
    </row>
    <row r="17" spans="1:15" s="17" customFormat="1" x14ac:dyDescent="0.25">
      <c r="A17" s="476">
        <v>80</v>
      </c>
      <c r="B17" s="554" t="str">
        <f>'SU 04008'!B5</f>
        <v>Front up bracket</v>
      </c>
      <c r="C17" s="482">
        <f>'SU 04008'!N2</f>
        <v>1.3905750000000001</v>
      </c>
      <c r="D17" s="466">
        <f>SU_04008_q</f>
        <v>1</v>
      </c>
      <c r="E17" s="74">
        <f t="shared" si="0"/>
        <v>1.3905750000000001</v>
      </c>
      <c r="F17" s="335"/>
      <c r="G17" s="335"/>
      <c r="H17" s="335"/>
      <c r="I17" s="335"/>
      <c r="J17" s="335"/>
      <c r="K17" s="335"/>
      <c r="L17" s="335"/>
      <c r="M17" s="335"/>
      <c r="N17" s="335"/>
      <c r="O17" s="340"/>
    </row>
    <row r="18" spans="1:15" s="17" customFormat="1" x14ac:dyDescent="0.25">
      <c r="A18" s="476">
        <v>90</v>
      </c>
      <c r="B18" s="554" t="str">
        <f>'SU 04009'!B5</f>
        <v>Front down bracket</v>
      </c>
      <c r="C18" s="482">
        <f>'SU 04009'!N2</f>
        <v>1.3814265000000003</v>
      </c>
      <c r="D18" s="466">
        <f>SU_04009_q</f>
        <v>1</v>
      </c>
      <c r="E18" s="74">
        <f t="shared" si="0"/>
        <v>1.3814265000000003</v>
      </c>
      <c r="F18" s="335"/>
      <c r="G18" s="335"/>
      <c r="H18" s="335"/>
      <c r="I18" s="335"/>
      <c r="J18" s="335"/>
      <c r="K18" s="335"/>
      <c r="L18" s="335"/>
      <c r="M18" s="335"/>
      <c r="N18" s="335"/>
      <c r="O18" s="340"/>
    </row>
    <row r="19" spans="1:15" s="17" customFormat="1" x14ac:dyDescent="0.25">
      <c r="A19" s="476">
        <v>100</v>
      </c>
      <c r="B19" s="554" t="str">
        <f>'SU 04010'!B5</f>
        <v>Rear up bracket</v>
      </c>
      <c r="C19" s="482">
        <f>'SU 04010'!N2</f>
        <v>1.8130709999999999</v>
      </c>
      <c r="D19" s="466">
        <f>SU_04010_q</f>
        <v>1</v>
      </c>
      <c r="E19" s="74">
        <f t="shared" si="0"/>
        <v>1.8130709999999999</v>
      </c>
      <c r="F19" s="335"/>
      <c r="G19" s="335"/>
      <c r="H19" s="335"/>
      <c r="I19" s="335"/>
      <c r="J19" s="335"/>
      <c r="K19" s="335"/>
      <c r="L19" s="335"/>
      <c r="M19" s="335"/>
      <c r="N19" s="335"/>
      <c r="O19" s="340"/>
    </row>
    <row r="20" spans="1:15" s="17" customFormat="1" x14ac:dyDescent="0.25">
      <c r="A20" s="476">
        <v>110</v>
      </c>
      <c r="B20" s="554" t="str">
        <f>'SU 04011'!B5</f>
        <v>Rear down bracket</v>
      </c>
      <c r="C20" s="482">
        <f>'SU 04011'!N2</f>
        <v>1.9015070000000001</v>
      </c>
      <c r="D20" s="466">
        <f>SU_04011_q</f>
        <v>1</v>
      </c>
      <c r="E20" s="74">
        <f t="shared" si="0"/>
        <v>1.9015070000000001</v>
      </c>
      <c r="F20" s="335"/>
      <c r="G20" s="335"/>
      <c r="H20" s="335"/>
      <c r="I20" s="335"/>
      <c r="J20" s="335"/>
      <c r="K20" s="335"/>
      <c r="L20" s="335"/>
      <c r="M20" s="335"/>
      <c r="N20" s="335"/>
      <c r="O20" s="340"/>
    </row>
    <row r="21" spans="1:15" x14ac:dyDescent="0.25">
      <c r="A21" s="156"/>
      <c r="B21" s="150"/>
      <c r="C21" s="150"/>
      <c r="D21" s="161" t="s">
        <v>18</v>
      </c>
      <c r="E21" s="162">
        <f>SUM(E10:E20)</f>
        <v>46.057777935199994</v>
      </c>
      <c r="F21" s="153"/>
      <c r="G21" s="153"/>
      <c r="H21" s="153"/>
      <c r="I21" s="153"/>
      <c r="J21" s="153"/>
      <c r="K21" s="153"/>
      <c r="L21" s="153"/>
      <c r="M21" s="153"/>
      <c r="N21" s="153"/>
      <c r="O21" s="152"/>
    </row>
    <row r="22" spans="1:15" x14ac:dyDescent="0.25">
      <c r="A22" s="156"/>
      <c r="B22" s="150"/>
      <c r="C22" s="150"/>
      <c r="D22" s="150"/>
      <c r="E22" s="150"/>
      <c r="F22" s="150"/>
      <c r="G22" s="150"/>
      <c r="H22" s="150"/>
      <c r="I22" s="150"/>
      <c r="J22" s="150"/>
      <c r="K22" s="150"/>
      <c r="L22" s="150"/>
      <c r="M22" s="150"/>
      <c r="N22" s="150"/>
      <c r="O22" s="152"/>
    </row>
    <row r="23" spans="1:15" x14ac:dyDescent="0.25">
      <c r="A23" s="148" t="s">
        <v>14</v>
      </c>
      <c r="B23" s="148" t="s">
        <v>19</v>
      </c>
      <c r="C23" s="148" t="s">
        <v>20</v>
      </c>
      <c r="D23" s="148" t="s">
        <v>21</v>
      </c>
      <c r="E23" s="148" t="s">
        <v>22</v>
      </c>
      <c r="F23" s="148" t="s">
        <v>23</v>
      </c>
      <c r="G23" s="148" t="s">
        <v>24</v>
      </c>
      <c r="H23" s="148" t="s">
        <v>25</v>
      </c>
      <c r="I23" s="148" t="s">
        <v>26</v>
      </c>
      <c r="J23" s="148" t="s">
        <v>27</v>
      </c>
      <c r="K23" s="148" t="s">
        <v>28</v>
      </c>
      <c r="L23" s="148" t="s">
        <v>29</v>
      </c>
      <c r="M23" s="148" t="s">
        <v>17</v>
      </c>
      <c r="N23" s="148" t="s">
        <v>18</v>
      </c>
      <c r="O23" s="152"/>
    </row>
    <row r="24" spans="1:15" ht="14.45" customHeight="1" x14ac:dyDescent="0.25">
      <c r="A24" s="157">
        <v>10</v>
      </c>
      <c r="B24" s="157" t="s">
        <v>65</v>
      </c>
      <c r="C24" s="157"/>
      <c r="D24" s="124">
        <f>0.03*E24^2+5</f>
        <v>6.92</v>
      </c>
      <c r="E24" s="157">
        <v>8</v>
      </c>
      <c r="F24" s="157" t="s">
        <v>30</v>
      </c>
      <c r="G24" s="157"/>
      <c r="H24" s="75"/>
      <c r="I24" s="163"/>
      <c r="J24" s="77"/>
      <c r="K24" s="75"/>
      <c r="L24" s="75"/>
      <c r="M24" s="75">
        <v>3</v>
      </c>
      <c r="N24" s="74">
        <f>M24*D24</f>
        <v>20.759999999999998</v>
      </c>
      <c r="O24" s="152"/>
    </row>
    <row r="25" spans="1:15" s="170" customFormat="1" ht="14.45" customHeight="1" x14ac:dyDescent="0.25">
      <c r="A25" s="157">
        <v>20</v>
      </c>
      <c r="B25" s="164" t="s">
        <v>70</v>
      </c>
      <c r="C25" s="165" t="s">
        <v>71</v>
      </c>
      <c r="D25" s="74"/>
      <c r="E25" s="166"/>
      <c r="F25" s="166"/>
      <c r="G25" s="166"/>
      <c r="H25" s="75"/>
      <c r="I25" s="167"/>
      <c r="J25" s="94"/>
      <c r="K25" s="78"/>
      <c r="L25" s="168"/>
      <c r="M25" s="80"/>
      <c r="N25" s="74">
        <f>M25*D25</f>
        <v>0</v>
      </c>
      <c r="O25" s="169"/>
    </row>
    <row r="26" spans="1:15" ht="14.45" customHeight="1" x14ac:dyDescent="0.25">
      <c r="A26" s="157">
        <v>30</v>
      </c>
      <c r="B26" s="164" t="s">
        <v>70</v>
      </c>
      <c r="C26" s="165" t="s">
        <v>72</v>
      </c>
      <c r="D26" s="74"/>
      <c r="E26" s="157"/>
      <c r="F26" s="157"/>
      <c r="G26" s="157"/>
      <c r="H26" s="75"/>
      <c r="I26" s="80"/>
      <c r="J26" s="81"/>
      <c r="K26" s="75"/>
      <c r="L26" s="168"/>
      <c r="M26" s="75"/>
      <c r="N26" s="74">
        <f>M26*D26</f>
        <v>0</v>
      </c>
      <c r="O26" s="152"/>
    </row>
    <row r="27" spans="1:15" x14ac:dyDescent="0.25">
      <c r="A27" s="171"/>
      <c r="B27" s="172"/>
      <c r="C27" s="172"/>
      <c r="D27" s="172"/>
      <c r="E27" s="172"/>
      <c r="F27" s="172"/>
      <c r="G27" s="172"/>
      <c r="H27" s="172"/>
      <c r="I27" s="172"/>
      <c r="J27" s="172"/>
      <c r="K27" s="172"/>
      <c r="L27" s="172"/>
      <c r="M27" s="148" t="s">
        <v>18</v>
      </c>
      <c r="N27" s="162">
        <f>SUM(N24:N26)</f>
        <v>20.759999999999998</v>
      </c>
      <c r="O27" s="152"/>
    </row>
    <row r="28" spans="1:15" x14ac:dyDescent="0.25">
      <c r="A28" s="156"/>
      <c r="B28" s="150"/>
      <c r="C28" s="150"/>
      <c r="D28" s="150"/>
      <c r="E28" s="150"/>
      <c r="F28" s="150"/>
      <c r="G28" s="150"/>
      <c r="H28" s="150"/>
      <c r="I28" s="150"/>
      <c r="J28" s="150"/>
      <c r="K28" s="150"/>
      <c r="L28" s="150"/>
      <c r="M28" s="150"/>
      <c r="N28" s="150"/>
      <c r="O28" s="152"/>
    </row>
    <row r="29" spans="1:15" s="174" customFormat="1" x14ac:dyDescent="0.25">
      <c r="A29" s="148" t="s">
        <v>14</v>
      </c>
      <c r="B29" s="148" t="s">
        <v>31</v>
      </c>
      <c r="C29" s="148" t="s">
        <v>20</v>
      </c>
      <c r="D29" s="148" t="s">
        <v>21</v>
      </c>
      <c r="E29" s="148" t="s">
        <v>32</v>
      </c>
      <c r="F29" s="148" t="s">
        <v>17</v>
      </c>
      <c r="G29" s="148" t="s">
        <v>33</v>
      </c>
      <c r="H29" s="148" t="s">
        <v>34</v>
      </c>
      <c r="I29" s="148" t="s">
        <v>18</v>
      </c>
      <c r="J29" s="172"/>
      <c r="K29" s="172"/>
      <c r="L29" s="172"/>
      <c r="M29" s="172"/>
      <c r="N29" s="172"/>
      <c r="O29" s="173"/>
    </row>
    <row r="30" spans="1:15" s="176" customFormat="1" x14ac:dyDescent="0.25">
      <c r="A30" s="216">
        <v>10</v>
      </c>
      <c r="B30" s="271" t="s">
        <v>76</v>
      </c>
      <c r="C30" s="217" t="s">
        <v>169</v>
      </c>
      <c r="D30" s="268">
        <v>0.02</v>
      </c>
      <c r="E30" s="216" t="s">
        <v>74</v>
      </c>
      <c r="F30" s="227">
        <v>8.66</v>
      </c>
      <c r="G30" s="227" t="s">
        <v>153</v>
      </c>
      <c r="H30" s="227">
        <v>2</v>
      </c>
      <c r="I30" s="268">
        <f t="shared" ref="I30:I51" si="1">IF(H30="",D30*F30,D30*F30*H30)</f>
        <v>0.34639999999999999</v>
      </c>
      <c r="J30" s="218"/>
      <c r="K30" s="218"/>
      <c r="L30" s="218"/>
      <c r="M30" s="218"/>
      <c r="N30" s="218"/>
      <c r="O30" s="219"/>
    </row>
    <row r="31" spans="1:15" s="176" customFormat="1" x14ac:dyDescent="0.25">
      <c r="A31" s="216">
        <v>20</v>
      </c>
      <c r="B31" s="271" t="s">
        <v>73</v>
      </c>
      <c r="C31" s="217" t="s">
        <v>170</v>
      </c>
      <c r="D31" s="268">
        <v>0.02</v>
      </c>
      <c r="E31" s="216" t="s">
        <v>74</v>
      </c>
      <c r="F31" s="227">
        <v>8.66</v>
      </c>
      <c r="G31" s="227" t="s">
        <v>153</v>
      </c>
      <c r="H31" s="227">
        <v>2</v>
      </c>
      <c r="I31" s="268">
        <f t="shared" si="1"/>
        <v>0.34639999999999999</v>
      </c>
      <c r="J31" s="220"/>
      <c r="K31" s="220"/>
      <c r="L31" s="220"/>
      <c r="M31" s="220"/>
      <c r="N31" s="220"/>
      <c r="O31" s="221"/>
    </row>
    <row r="32" spans="1:15" s="176" customFormat="1" x14ac:dyDescent="0.25">
      <c r="A32" s="216">
        <v>30</v>
      </c>
      <c r="B32" s="271" t="s">
        <v>76</v>
      </c>
      <c r="C32" s="217" t="s">
        <v>172</v>
      </c>
      <c r="D32" s="268">
        <v>0.02</v>
      </c>
      <c r="E32" s="216" t="s">
        <v>74</v>
      </c>
      <c r="F32" s="227">
        <v>8.66</v>
      </c>
      <c r="G32" s="227" t="s">
        <v>153</v>
      </c>
      <c r="H32" s="227">
        <v>2</v>
      </c>
      <c r="I32" s="268">
        <f t="shared" si="1"/>
        <v>0.34639999999999999</v>
      </c>
      <c r="J32" s="218"/>
      <c r="K32" s="218"/>
      <c r="L32" s="218"/>
      <c r="M32" s="218"/>
      <c r="N32" s="218"/>
      <c r="O32" s="219"/>
    </row>
    <row r="33" spans="1:15" s="176" customFormat="1" x14ac:dyDescent="0.25">
      <c r="A33" s="216">
        <v>40</v>
      </c>
      <c r="B33" s="271" t="s">
        <v>154</v>
      </c>
      <c r="C33" s="222" t="s">
        <v>174</v>
      </c>
      <c r="D33" s="268">
        <v>0.06</v>
      </c>
      <c r="E33" s="271" t="s">
        <v>32</v>
      </c>
      <c r="F33" s="227">
        <v>1</v>
      </c>
      <c r="G33" s="227" t="s">
        <v>153</v>
      </c>
      <c r="H33" s="227">
        <v>2</v>
      </c>
      <c r="I33" s="268">
        <f t="shared" si="1"/>
        <v>0.12</v>
      </c>
      <c r="J33" s="220"/>
      <c r="K33" s="220"/>
      <c r="L33" s="220"/>
      <c r="M33" s="220"/>
      <c r="N33" s="220"/>
      <c r="O33" s="221"/>
    </row>
    <row r="34" spans="1:15" s="176" customFormat="1" x14ac:dyDescent="0.25">
      <c r="A34" s="216">
        <v>50</v>
      </c>
      <c r="B34" s="271" t="s">
        <v>76</v>
      </c>
      <c r="C34" s="217" t="s">
        <v>175</v>
      </c>
      <c r="D34" s="268">
        <v>0.02</v>
      </c>
      <c r="E34" s="216" t="s">
        <v>74</v>
      </c>
      <c r="F34" s="227">
        <v>12.43</v>
      </c>
      <c r="G34" s="227" t="s">
        <v>153</v>
      </c>
      <c r="H34" s="227">
        <v>2</v>
      </c>
      <c r="I34" s="268">
        <f t="shared" si="1"/>
        <v>0.49719999999999998</v>
      </c>
      <c r="J34" s="218"/>
      <c r="K34" s="218"/>
      <c r="L34" s="218"/>
      <c r="M34" s="218"/>
      <c r="N34" s="218"/>
      <c r="O34" s="219"/>
    </row>
    <row r="35" spans="1:15" s="176" customFormat="1" x14ac:dyDescent="0.25">
      <c r="A35" s="216">
        <v>60</v>
      </c>
      <c r="B35" s="271" t="s">
        <v>73</v>
      </c>
      <c r="C35" s="217" t="s">
        <v>176</v>
      </c>
      <c r="D35" s="268">
        <v>0.02</v>
      </c>
      <c r="E35" s="216" t="s">
        <v>74</v>
      </c>
      <c r="F35" s="227">
        <v>12.43</v>
      </c>
      <c r="G35" s="227" t="s">
        <v>153</v>
      </c>
      <c r="H35" s="227">
        <v>2</v>
      </c>
      <c r="I35" s="268">
        <f t="shared" si="1"/>
        <v>0.49719999999999998</v>
      </c>
      <c r="J35" s="220"/>
      <c r="K35" s="220"/>
      <c r="L35" s="220"/>
      <c r="M35" s="220"/>
      <c r="N35" s="220"/>
      <c r="O35" s="221"/>
    </row>
    <row r="36" spans="1:15" s="176" customFormat="1" x14ac:dyDescent="0.25">
      <c r="A36" s="216">
        <v>70</v>
      </c>
      <c r="B36" s="271" t="s">
        <v>76</v>
      </c>
      <c r="C36" s="217" t="s">
        <v>155</v>
      </c>
      <c r="D36" s="268">
        <v>0.02</v>
      </c>
      <c r="E36" s="216" t="s">
        <v>74</v>
      </c>
      <c r="F36" s="227">
        <v>12.43</v>
      </c>
      <c r="G36" s="227" t="s">
        <v>153</v>
      </c>
      <c r="H36" s="227">
        <v>2</v>
      </c>
      <c r="I36" s="268">
        <f t="shared" si="1"/>
        <v>0.49719999999999998</v>
      </c>
      <c r="J36" s="218"/>
      <c r="K36" s="218"/>
      <c r="L36" s="218"/>
      <c r="M36" s="218"/>
      <c r="N36" s="218"/>
      <c r="O36" s="219"/>
    </row>
    <row r="37" spans="1:15" s="176" customFormat="1" x14ac:dyDescent="0.25">
      <c r="A37" s="216">
        <v>80</v>
      </c>
      <c r="B37" s="271" t="s">
        <v>154</v>
      </c>
      <c r="C37" s="222" t="s">
        <v>177</v>
      </c>
      <c r="D37" s="268">
        <v>0.14000000000000001</v>
      </c>
      <c r="E37" s="271" t="s">
        <v>32</v>
      </c>
      <c r="F37" s="227">
        <v>1</v>
      </c>
      <c r="G37" s="227" t="s">
        <v>153</v>
      </c>
      <c r="H37" s="227">
        <v>2</v>
      </c>
      <c r="I37" s="268">
        <f t="shared" si="1"/>
        <v>0.28000000000000003</v>
      </c>
      <c r="J37" s="223"/>
      <c r="K37" s="223"/>
      <c r="L37" s="223"/>
      <c r="M37" s="223"/>
      <c r="N37" s="223"/>
      <c r="O37" s="224"/>
    </row>
    <row r="38" spans="1:15" s="176" customFormat="1" x14ac:dyDescent="0.25">
      <c r="A38" s="216">
        <v>90</v>
      </c>
      <c r="B38" s="271" t="s">
        <v>76</v>
      </c>
      <c r="C38" s="217" t="s">
        <v>171</v>
      </c>
      <c r="D38" s="268">
        <v>0.02</v>
      </c>
      <c r="E38" s="216" t="s">
        <v>74</v>
      </c>
      <c r="F38" s="227">
        <v>12.43</v>
      </c>
      <c r="G38" s="227" t="s">
        <v>153</v>
      </c>
      <c r="H38" s="227">
        <v>2</v>
      </c>
      <c r="I38" s="268">
        <f t="shared" si="1"/>
        <v>0.49719999999999998</v>
      </c>
      <c r="J38" s="218"/>
      <c r="K38" s="218"/>
      <c r="L38" s="218"/>
      <c r="M38" s="218"/>
      <c r="N38" s="218"/>
      <c r="O38" s="219"/>
    </row>
    <row r="39" spans="1:15" s="176" customFormat="1" x14ac:dyDescent="0.25">
      <c r="A39" s="216">
        <v>100</v>
      </c>
      <c r="B39" s="271" t="s">
        <v>73</v>
      </c>
      <c r="C39" s="217" t="s">
        <v>173</v>
      </c>
      <c r="D39" s="268">
        <v>0.18</v>
      </c>
      <c r="E39" s="216" t="s">
        <v>74</v>
      </c>
      <c r="F39" s="227">
        <v>12.43</v>
      </c>
      <c r="G39" s="227" t="s">
        <v>153</v>
      </c>
      <c r="H39" s="227">
        <v>2</v>
      </c>
      <c r="I39" s="268">
        <f t="shared" si="1"/>
        <v>4.4748000000000001</v>
      </c>
      <c r="J39" s="223"/>
      <c r="K39" s="223"/>
      <c r="L39" s="223"/>
      <c r="M39" s="223"/>
      <c r="N39" s="223"/>
      <c r="O39" s="219"/>
    </row>
    <row r="40" spans="1:15" s="176" customFormat="1" x14ac:dyDescent="0.25">
      <c r="A40" s="216">
        <v>110</v>
      </c>
      <c r="B40" s="271" t="s">
        <v>76</v>
      </c>
      <c r="C40" s="217" t="s">
        <v>155</v>
      </c>
      <c r="D40" s="268">
        <v>0.02</v>
      </c>
      <c r="E40" s="216" t="s">
        <v>74</v>
      </c>
      <c r="F40" s="227">
        <v>12.43</v>
      </c>
      <c r="G40" s="227" t="s">
        <v>153</v>
      </c>
      <c r="H40" s="227">
        <v>2</v>
      </c>
      <c r="I40" s="268">
        <f t="shared" si="1"/>
        <v>0.49719999999999998</v>
      </c>
      <c r="J40" s="218"/>
      <c r="K40" s="218"/>
      <c r="L40" s="218"/>
      <c r="M40" s="218"/>
      <c r="N40" s="218"/>
      <c r="O40" s="219"/>
    </row>
    <row r="41" spans="1:15" s="176" customFormat="1" ht="30" x14ac:dyDescent="0.25">
      <c r="A41" s="216">
        <v>120</v>
      </c>
      <c r="B41" s="271" t="s">
        <v>154</v>
      </c>
      <c r="C41" s="222" t="s">
        <v>178</v>
      </c>
      <c r="D41" s="268">
        <v>0.22</v>
      </c>
      <c r="E41" s="271" t="s">
        <v>32</v>
      </c>
      <c r="F41" s="227">
        <v>1</v>
      </c>
      <c r="G41" s="227" t="s">
        <v>153</v>
      </c>
      <c r="H41" s="227">
        <v>2</v>
      </c>
      <c r="I41" s="268">
        <f t="shared" si="1"/>
        <v>0.44</v>
      </c>
      <c r="J41" s="223"/>
      <c r="K41" s="223"/>
      <c r="L41" s="223"/>
      <c r="M41" s="223"/>
      <c r="N41" s="223"/>
      <c r="O41" s="219"/>
    </row>
    <row r="42" spans="1:15" s="176" customFormat="1" x14ac:dyDescent="0.25">
      <c r="A42" s="216">
        <v>130</v>
      </c>
      <c r="B42" s="271" t="s">
        <v>76</v>
      </c>
      <c r="C42" s="217" t="s">
        <v>156</v>
      </c>
      <c r="D42" s="268">
        <v>0.02</v>
      </c>
      <c r="E42" s="216" t="s">
        <v>74</v>
      </c>
      <c r="F42" s="227">
        <v>4.01</v>
      </c>
      <c r="G42" s="227" t="s">
        <v>157</v>
      </c>
      <c r="H42" s="227">
        <v>3</v>
      </c>
      <c r="I42" s="268">
        <f t="shared" si="1"/>
        <v>0.24059999999999998</v>
      </c>
      <c r="J42" s="218"/>
      <c r="K42" s="218"/>
      <c r="L42" s="218"/>
      <c r="M42" s="218"/>
      <c r="N42" s="218"/>
      <c r="O42" s="219"/>
    </row>
    <row r="43" spans="1:15" s="176" customFormat="1" x14ac:dyDescent="0.25">
      <c r="A43" s="216">
        <v>140</v>
      </c>
      <c r="B43" s="225" t="s">
        <v>73</v>
      </c>
      <c r="C43" s="217" t="s">
        <v>158</v>
      </c>
      <c r="D43" s="268">
        <v>0.02</v>
      </c>
      <c r="E43" s="216" t="s">
        <v>74</v>
      </c>
      <c r="F43" s="227">
        <v>4.01</v>
      </c>
      <c r="G43" s="227" t="s">
        <v>157</v>
      </c>
      <c r="H43" s="227">
        <v>3</v>
      </c>
      <c r="I43" s="268">
        <f t="shared" si="1"/>
        <v>0.24059999999999998</v>
      </c>
      <c r="J43" s="223"/>
      <c r="K43" s="223"/>
      <c r="L43" s="223"/>
      <c r="M43" s="223"/>
      <c r="N43" s="223"/>
      <c r="O43" s="219"/>
    </row>
    <row r="44" spans="1:15" s="176" customFormat="1" x14ac:dyDescent="0.25">
      <c r="A44" s="216">
        <v>150</v>
      </c>
      <c r="B44" s="271" t="s">
        <v>154</v>
      </c>
      <c r="C44" s="217" t="s">
        <v>159</v>
      </c>
      <c r="D44" s="268">
        <v>0.3</v>
      </c>
      <c r="E44" s="271" t="s">
        <v>32</v>
      </c>
      <c r="F44" s="227">
        <v>1</v>
      </c>
      <c r="G44" s="227" t="s">
        <v>157</v>
      </c>
      <c r="H44" s="227">
        <v>3</v>
      </c>
      <c r="I44" s="268">
        <f t="shared" si="1"/>
        <v>0.89999999999999991</v>
      </c>
      <c r="J44" s="223"/>
      <c r="K44" s="223"/>
      <c r="L44" s="223"/>
      <c r="M44" s="223"/>
      <c r="N44" s="223"/>
      <c r="O44" s="219"/>
    </row>
    <row r="45" spans="1:15" s="176" customFormat="1" x14ac:dyDescent="0.25">
      <c r="A45" s="216">
        <v>160</v>
      </c>
      <c r="B45" s="216" t="s">
        <v>160</v>
      </c>
      <c r="C45" s="217" t="s">
        <v>161</v>
      </c>
      <c r="D45" s="268">
        <v>0.15</v>
      </c>
      <c r="E45" s="216" t="s">
        <v>74</v>
      </c>
      <c r="F45" s="227">
        <v>22</v>
      </c>
      <c r="G45" s="227"/>
      <c r="H45" s="211"/>
      <c r="I45" s="268">
        <f t="shared" si="1"/>
        <v>3.3</v>
      </c>
      <c r="J45" s="223"/>
      <c r="K45" s="223"/>
      <c r="L45" s="223"/>
      <c r="M45" s="223"/>
      <c r="N45" s="223"/>
      <c r="O45" s="219"/>
    </row>
    <row r="46" spans="1:15" s="176" customFormat="1" x14ac:dyDescent="0.25">
      <c r="A46" s="216">
        <v>170</v>
      </c>
      <c r="B46" s="271" t="s">
        <v>162</v>
      </c>
      <c r="C46" s="222" t="s">
        <v>163</v>
      </c>
      <c r="D46" s="268">
        <v>5.25</v>
      </c>
      <c r="E46" s="271" t="s">
        <v>77</v>
      </c>
      <c r="F46" s="227">
        <v>0.01</v>
      </c>
      <c r="G46" s="227"/>
      <c r="H46" s="211"/>
      <c r="I46" s="268">
        <f t="shared" si="1"/>
        <v>5.2499999999999998E-2</v>
      </c>
      <c r="J46" s="223"/>
      <c r="K46" s="223"/>
      <c r="L46" s="223"/>
      <c r="M46" s="226"/>
      <c r="N46" s="223"/>
      <c r="O46" s="219"/>
    </row>
    <row r="47" spans="1:15" s="176" customFormat="1" x14ac:dyDescent="0.25">
      <c r="A47" s="216">
        <v>180</v>
      </c>
      <c r="B47" s="216" t="s">
        <v>154</v>
      </c>
      <c r="C47" s="217" t="s">
        <v>164</v>
      </c>
      <c r="D47" s="268">
        <v>0.14000000000000001</v>
      </c>
      <c r="E47" s="216" t="s">
        <v>32</v>
      </c>
      <c r="F47" s="227">
        <v>1</v>
      </c>
      <c r="G47" s="227"/>
      <c r="H47" s="211"/>
      <c r="I47" s="268">
        <f t="shared" si="1"/>
        <v>0.14000000000000001</v>
      </c>
      <c r="J47" s="223"/>
      <c r="K47" s="223"/>
      <c r="L47" s="223"/>
      <c r="M47" s="223"/>
      <c r="N47" s="223"/>
      <c r="O47" s="219"/>
    </row>
    <row r="48" spans="1:15" s="176" customFormat="1" x14ac:dyDescent="0.25">
      <c r="A48" s="216">
        <v>190</v>
      </c>
      <c r="B48" s="271" t="s">
        <v>75</v>
      </c>
      <c r="C48" s="222" t="s">
        <v>165</v>
      </c>
      <c r="D48" s="268">
        <v>0.13</v>
      </c>
      <c r="E48" s="271" t="s">
        <v>32</v>
      </c>
      <c r="F48" s="227">
        <v>4</v>
      </c>
      <c r="G48" s="227"/>
      <c r="H48" s="211"/>
      <c r="I48" s="268">
        <f t="shared" si="1"/>
        <v>0.52</v>
      </c>
      <c r="J48" s="223"/>
      <c r="K48" s="223"/>
      <c r="L48" s="223"/>
      <c r="M48" s="223"/>
      <c r="N48" s="223"/>
      <c r="O48" s="219"/>
    </row>
    <row r="49" spans="1:15" s="176" customFormat="1" x14ac:dyDescent="0.25">
      <c r="A49" s="216">
        <v>200</v>
      </c>
      <c r="B49" s="271" t="s">
        <v>75</v>
      </c>
      <c r="C49" s="222" t="s">
        <v>166</v>
      </c>
      <c r="D49" s="268">
        <v>0.13</v>
      </c>
      <c r="E49" s="271" t="s">
        <v>32</v>
      </c>
      <c r="F49" s="227">
        <v>8</v>
      </c>
      <c r="G49" s="227"/>
      <c r="H49" s="211"/>
      <c r="I49" s="268">
        <f t="shared" si="1"/>
        <v>1.04</v>
      </c>
      <c r="J49" s="223"/>
      <c r="K49" s="223"/>
      <c r="L49" s="223"/>
      <c r="M49" s="223"/>
      <c r="N49" s="223"/>
      <c r="O49" s="219"/>
    </row>
    <row r="50" spans="1:15" s="176" customFormat="1" x14ac:dyDescent="0.25">
      <c r="A50" s="216">
        <v>210</v>
      </c>
      <c r="B50" s="216" t="s">
        <v>78</v>
      </c>
      <c r="C50" s="217" t="s">
        <v>167</v>
      </c>
      <c r="D50" s="268">
        <v>0.13</v>
      </c>
      <c r="E50" s="216" t="s">
        <v>32</v>
      </c>
      <c r="F50" s="227">
        <v>2</v>
      </c>
      <c r="G50" s="227"/>
      <c r="H50" s="211"/>
      <c r="I50" s="268">
        <f t="shared" si="1"/>
        <v>0.26</v>
      </c>
      <c r="J50" s="223"/>
      <c r="K50" s="223"/>
      <c r="L50" s="223"/>
      <c r="M50" s="223"/>
      <c r="N50" s="223"/>
      <c r="O50" s="219"/>
    </row>
    <row r="51" spans="1:15" s="176" customFormat="1" x14ac:dyDescent="0.25">
      <c r="A51" s="216">
        <v>220</v>
      </c>
      <c r="B51" s="271" t="s">
        <v>79</v>
      </c>
      <c r="C51" s="222" t="s">
        <v>168</v>
      </c>
      <c r="D51" s="268">
        <v>0.25</v>
      </c>
      <c r="E51" s="271" t="s">
        <v>32</v>
      </c>
      <c r="F51" s="227">
        <v>2</v>
      </c>
      <c r="G51" s="227"/>
      <c r="H51" s="211"/>
      <c r="I51" s="268">
        <f t="shared" si="1"/>
        <v>0.5</v>
      </c>
      <c r="J51" s="223"/>
      <c r="K51" s="223"/>
      <c r="L51" s="223"/>
      <c r="M51" s="223"/>
      <c r="N51" s="223"/>
      <c r="O51" s="224"/>
    </row>
    <row r="52" spans="1:15" x14ac:dyDescent="0.25">
      <c r="A52" s="171"/>
      <c r="B52" s="172"/>
      <c r="C52" s="172"/>
      <c r="D52" s="172"/>
      <c r="E52" s="172"/>
      <c r="F52" s="172"/>
      <c r="G52" s="172"/>
      <c r="H52" s="161" t="s">
        <v>18</v>
      </c>
      <c r="I52" s="162">
        <f>SUM(I30:I51)</f>
        <v>16.033700000000003</v>
      </c>
      <c r="J52" s="150"/>
      <c r="K52" s="150"/>
      <c r="L52" s="150"/>
      <c r="M52" s="150"/>
      <c r="N52" s="150"/>
      <c r="O52" s="152"/>
    </row>
    <row r="53" spans="1:15" x14ac:dyDescent="0.25">
      <c r="A53" s="156"/>
      <c r="B53" s="150"/>
      <c r="C53" s="150"/>
      <c r="D53" s="150"/>
      <c r="E53" s="150"/>
      <c r="F53" s="150"/>
      <c r="G53" s="150"/>
      <c r="H53" s="150"/>
      <c r="I53" s="150"/>
      <c r="J53" s="150"/>
      <c r="K53" s="150"/>
      <c r="L53" s="150"/>
      <c r="M53" s="150"/>
      <c r="N53" s="150"/>
      <c r="O53" s="152"/>
    </row>
    <row r="54" spans="1:15" x14ac:dyDescent="0.25">
      <c r="A54" s="148" t="s">
        <v>14</v>
      </c>
      <c r="B54" s="148" t="s">
        <v>36</v>
      </c>
      <c r="C54" s="148" t="s">
        <v>20</v>
      </c>
      <c r="D54" s="148" t="s">
        <v>21</v>
      </c>
      <c r="E54" s="148" t="s">
        <v>22</v>
      </c>
      <c r="F54" s="148" t="s">
        <v>23</v>
      </c>
      <c r="G54" s="148" t="s">
        <v>24</v>
      </c>
      <c r="H54" s="148" t="s">
        <v>25</v>
      </c>
      <c r="I54" s="148" t="s">
        <v>17</v>
      </c>
      <c r="J54" s="148" t="s">
        <v>18</v>
      </c>
      <c r="K54" s="150"/>
      <c r="L54" s="150"/>
      <c r="M54" s="150"/>
      <c r="N54" s="150"/>
      <c r="O54" s="152"/>
    </row>
    <row r="55" spans="1:15" x14ac:dyDescent="0.25">
      <c r="A55" s="164">
        <v>10</v>
      </c>
      <c r="B55" s="164" t="s">
        <v>80</v>
      </c>
      <c r="C55" s="164" t="s">
        <v>81</v>
      </c>
      <c r="D55" s="177">
        <f>0.8/105154*E55^2*G55*SQRT(G55)+(0.003*EXP(0.319*E55))</f>
        <v>0.16167651505774214</v>
      </c>
      <c r="E55" s="164">
        <v>8</v>
      </c>
      <c r="F55" s="127" t="s">
        <v>30</v>
      </c>
      <c r="G55" s="178">
        <v>40</v>
      </c>
      <c r="H55" s="175" t="s">
        <v>30</v>
      </c>
      <c r="I55" s="128">
        <v>2</v>
      </c>
      <c r="J55" s="129">
        <f>D55*I55</f>
        <v>0.32335303011548427</v>
      </c>
      <c r="K55" s="150"/>
      <c r="L55" s="150"/>
      <c r="M55" s="150"/>
      <c r="N55" s="150"/>
      <c r="O55" s="152"/>
    </row>
    <row r="56" spans="1:15" x14ac:dyDescent="0.25">
      <c r="A56" s="164">
        <v>20</v>
      </c>
      <c r="B56" s="164" t="s">
        <v>82</v>
      </c>
      <c r="C56" s="164" t="s">
        <v>83</v>
      </c>
      <c r="D56" s="179">
        <f>(0.009*EXP(0.2*E56))</f>
        <v>4.4577291819556032E-2</v>
      </c>
      <c r="E56" s="164">
        <v>8</v>
      </c>
      <c r="F56" s="127" t="s">
        <v>30</v>
      </c>
      <c r="G56" s="164"/>
      <c r="H56" s="175"/>
      <c r="I56" s="130">
        <v>2</v>
      </c>
      <c r="J56" s="126">
        <f>D56*I56</f>
        <v>8.9154583639112064E-2</v>
      </c>
      <c r="K56" s="150"/>
      <c r="L56" s="150"/>
      <c r="M56" s="150"/>
      <c r="N56" s="150"/>
      <c r="O56" s="152"/>
    </row>
    <row r="57" spans="1:15" x14ac:dyDescent="0.25">
      <c r="A57" s="164">
        <v>30</v>
      </c>
      <c r="B57" s="164" t="s">
        <v>84</v>
      </c>
      <c r="C57" s="164" t="s">
        <v>85</v>
      </c>
      <c r="D57" s="164">
        <v>0.01</v>
      </c>
      <c r="E57" s="164">
        <v>8</v>
      </c>
      <c r="F57" s="127" t="s">
        <v>30</v>
      </c>
      <c r="G57" s="164"/>
      <c r="H57" s="175"/>
      <c r="I57" s="130">
        <v>4</v>
      </c>
      <c r="J57" s="126">
        <f>D57*I57</f>
        <v>0.04</v>
      </c>
      <c r="K57" s="180"/>
      <c r="L57" s="180"/>
      <c r="M57" s="180"/>
      <c r="N57" s="180"/>
      <c r="O57" s="152"/>
    </row>
    <row r="58" spans="1:15" x14ac:dyDescent="0.25">
      <c r="A58" s="171"/>
      <c r="B58" s="172"/>
      <c r="C58" s="172"/>
      <c r="D58" s="172"/>
      <c r="E58" s="172"/>
      <c r="F58" s="172"/>
      <c r="G58" s="172"/>
      <c r="H58" s="172"/>
      <c r="I58" s="161" t="s">
        <v>18</v>
      </c>
      <c r="J58" s="162">
        <f>SUM(J55:J57)</f>
        <v>0.45250761375459631</v>
      </c>
      <c r="K58" s="150"/>
      <c r="L58" s="150"/>
      <c r="M58" s="150"/>
      <c r="N58" s="150"/>
      <c r="O58" s="152"/>
    </row>
    <row r="59" spans="1:15" x14ac:dyDescent="0.25">
      <c r="A59" s="156"/>
      <c r="B59" s="150"/>
      <c r="C59" s="150"/>
      <c r="D59" s="150"/>
      <c r="E59" s="150"/>
      <c r="F59" s="150"/>
      <c r="G59" s="150"/>
      <c r="H59" s="150"/>
      <c r="I59" s="150"/>
      <c r="J59" s="150"/>
      <c r="K59" s="150"/>
      <c r="L59" s="150"/>
      <c r="M59" s="150"/>
      <c r="N59" s="150"/>
      <c r="O59" s="152"/>
    </row>
    <row r="60" spans="1:15" s="176" customFormat="1" x14ac:dyDescent="0.25">
      <c r="A60" s="236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18"/>
      <c r="K60" s="220"/>
      <c r="L60" s="220"/>
      <c r="M60" s="220"/>
      <c r="N60" s="220"/>
      <c r="O60" s="221"/>
    </row>
    <row r="61" spans="1:15" s="176" customFormat="1" x14ac:dyDescent="0.25">
      <c r="A61" s="216">
        <v>10</v>
      </c>
      <c r="B61" s="216" t="s">
        <v>182</v>
      </c>
      <c r="C61" s="216" t="s">
        <v>183</v>
      </c>
      <c r="D61" s="267">
        <v>500</v>
      </c>
      <c r="E61" s="216" t="s">
        <v>184</v>
      </c>
      <c r="F61" s="216">
        <f>8</f>
        <v>8</v>
      </c>
      <c r="G61" s="216">
        <v>3000</v>
      </c>
      <c r="H61" s="216">
        <v>1</v>
      </c>
      <c r="I61" s="269">
        <f>D61*F61/G61*H61</f>
        <v>1.3333333333333333</v>
      </c>
      <c r="J61" s="218"/>
      <c r="K61" s="220"/>
      <c r="L61" s="220"/>
      <c r="M61" s="220"/>
      <c r="N61" s="220"/>
      <c r="O61" s="221"/>
    </row>
    <row r="62" spans="1:15" s="176" customFormat="1" x14ac:dyDescent="0.25">
      <c r="A62" s="239"/>
      <c r="B62" s="218"/>
      <c r="C62" s="218"/>
      <c r="D62" s="218"/>
      <c r="E62" s="218"/>
      <c r="F62" s="218"/>
      <c r="G62" s="218"/>
      <c r="H62" s="241" t="s">
        <v>18</v>
      </c>
      <c r="I62" s="240">
        <f>SUM(I61:I61)</f>
        <v>1.3333333333333333</v>
      </c>
      <c r="J62" s="218"/>
      <c r="K62" s="220"/>
      <c r="L62" s="220"/>
      <c r="M62" s="220"/>
      <c r="N62" s="220"/>
      <c r="O62" s="221"/>
    </row>
    <row r="63" spans="1:15" ht="15.75" thickBot="1" x14ac:dyDescent="0.3">
      <c r="A63" s="181"/>
      <c r="B63" s="182"/>
      <c r="C63" s="182"/>
      <c r="D63" s="182"/>
      <c r="E63" s="182"/>
      <c r="F63" s="182"/>
      <c r="G63" s="182"/>
      <c r="H63" s="182"/>
      <c r="I63" s="182"/>
      <c r="J63" s="182"/>
      <c r="K63" s="182"/>
      <c r="L63" s="182"/>
      <c r="M63" s="182"/>
      <c r="N63" s="182"/>
      <c r="O63" s="183"/>
    </row>
    <row r="64" spans="1:15" x14ac:dyDescent="0.25">
      <c r="A64" s="150"/>
      <c r="B64" s="150"/>
      <c r="C64" s="150"/>
      <c r="D64" s="150"/>
      <c r="E64" s="150"/>
      <c r="F64" s="150"/>
      <c r="G64" s="150"/>
      <c r="H64" s="150"/>
      <c r="I64" s="150"/>
      <c r="J64" s="150"/>
      <c r="K64" s="150"/>
      <c r="L64" s="150"/>
      <c r="M64" s="150"/>
      <c r="N64" s="150"/>
    </row>
  </sheetData>
  <hyperlinks>
    <hyperlink ref="E2" location="SU_A0400_BOM" display="Back to BOM" xr:uid="{00000000-0004-0000-4000-000000000000}"/>
    <hyperlink ref="B10" location="SU_04001" display="SU_04001" xr:uid="{00000000-0004-0000-4000-000001000000}"/>
    <hyperlink ref="B11:B13" location="BR_01001" display="BR_01001" xr:uid="{00000000-0004-0000-4000-000002000000}"/>
    <hyperlink ref="B14" location="SU_04005" display="SU_04005" xr:uid="{00000000-0004-0000-4000-000003000000}"/>
    <hyperlink ref="B16" location="SU_04007" display="SU_04007" xr:uid="{00000000-0004-0000-4000-000004000000}"/>
    <hyperlink ref="B11" location="SU_04002" display="SU_04002" xr:uid="{00000000-0004-0000-4000-000005000000}"/>
    <hyperlink ref="B12" location="SU_04003" display="SU_04003" xr:uid="{00000000-0004-0000-4000-000006000000}"/>
    <hyperlink ref="B13" location="SU_04004" display="SU_04004" xr:uid="{00000000-0004-0000-4000-000007000000}"/>
    <hyperlink ref="B15" location="SU_04006" display="SU_04006" xr:uid="{00000000-0004-0000-4000-000008000000}"/>
    <hyperlink ref="B17" location="SU_04008" display="SU_04008" xr:uid="{00000000-0004-0000-4000-000009000000}"/>
    <hyperlink ref="B18" location="SU_04009" display="SU_04009" xr:uid="{00000000-0004-0000-4000-00000A000000}"/>
    <hyperlink ref="B19" location="SU_04010" display="SU_04010" xr:uid="{00000000-0004-0000-4000-00000B000000}"/>
    <hyperlink ref="B20" location="SU_04011" display="SU_04011" xr:uid="{00000000-0004-0000-40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>
    <tabColor rgb="FFFFFF66"/>
    <pageSetUpPr fitToPage="1"/>
  </sheetPr>
  <dimension ref="A1:S24"/>
  <sheetViews>
    <sheetView zoomScale="106" zoomScaleNormal="106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47"/>
    <col min="2" max="2" width="15.85546875" style="147" customWidth="1"/>
    <col min="3" max="3" width="24.5703125" style="147" customWidth="1"/>
    <col min="4" max="6" width="9.140625" style="147"/>
    <col min="7" max="7" width="11.5703125" style="147" customWidth="1"/>
    <col min="8" max="9" width="9.140625" style="147"/>
    <col min="10" max="10" width="12.5703125" style="147" customWidth="1"/>
    <col min="11" max="14" width="9.140625" style="147"/>
    <col min="15" max="15" width="3.140625" style="147" customWidth="1"/>
    <col min="16" max="17" width="9.140625" style="147"/>
    <col min="18" max="19" width="16.28515625" style="147" bestFit="1" customWidth="1"/>
    <col min="20" max="16384" width="9.140625" style="147"/>
  </cols>
  <sheetData>
    <row r="1" spans="1:19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9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SU_04001_m+SU_04001_p</f>
        <v>8.9540000000000006</v>
      </c>
      <c r="O2" s="152"/>
    </row>
    <row r="3" spans="1:19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270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9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9" x14ac:dyDescent="0.25">
      <c r="A5" s="184" t="s">
        <v>15</v>
      </c>
      <c r="B5" s="155" t="s">
        <v>144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8.9540000000000006</v>
      </c>
      <c r="O5" s="152"/>
    </row>
    <row r="6" spans="1:19" x14ac:dyDescent="0.25">
      <c r="A6" s="184" t="s">
        <v>7</v>
      </c>
      <c r="B6" s="187" t="s">
        <v>244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9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9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9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9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9" s="22" customFormat="1" ht="17.45" customHeight="1" x14ac:dyDescent="0.25">
      <c r="A11" s="494">
        <v>10</v>
      </c>
      <c r="B11" s="495" t="s">
        <v>200</v>
      </c>
      <c r="C11" s="494" t="s">
        <v>225</v>
      </c>
      <c r="D11" s="496">
        <v>4.2</v>
      </c>
      <c r="E11" s="497"/>
      <c r="F11" s="494"/>
      <c r="G11" s="494"/>
      <c r="H11" s="498"/>
      <c r="I11" s="307" t="s">
        <v>245</v>
      </c>
      <c r="J11" s="242">
        <f>65*42/1000000</f>
        <v>2.7299999999999998E-3</v>
      </c>
      <c r="K11" s="242">
        <v>1.6E-2</v>
      </c>
      <c r="L11" s="79">
        <v>2712</v>
      </c>
      <c r="M11" s="139">
        <v>1</v>
      </c>
      <c r="N11" s="272">
        <f>D11*M11</f>
        <v>4.2</v>
      </c>
      <c r="O11" s="66"/>
    </row>
    <row r="12" spans="1:19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SUM(N11)</f>
        <v>4.2</v>
      </c>
      <c r="O12" s="152"/>
    </row>
    <row r="13" spans="1:19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S13" s="199"/>
    </row>
    <row r="14" spans="1:19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  <c r="R14" s="199"/>
    </row>
    <row r="15" spans="1:19" s="507" customFormat="1" ht="30.6" customHeight="1" x14ac:dyDescent="0.25">
      <c r="A15" s="499">
        <v>10</v>
      </c>
      <c r="B15" s="319" t="s">
        <v>39</v>
      </c>
      <c r="C15" s="500"/>
      <c r="D15" s="501">
        <v>1.3</v>
      </c>
      <c r="E15" s="319" t="s">
        <v>32</v>
      </c>
      <c r="F15" s="500">
        <v>1</v>
      </c>
      <c r="G15" s="500"/>
      <c r="H15" s="500"/>
      <c r="I15" s="502">
        <f t="shared" ref="I15:I22" si="0">IF(H15="",D15*F15,D15*F15*H15)</f>
        <v>1.3</v>
      </c>
      <c r="J15" s="505"/>
      <c r="K15" s="505"/>
      <c r="L15" s="505"/>
      <c r="M15" s="505"/>
      <c r="N15" s="505"/>
      <c r="O15" s="506"/>
    </row>
    <row r="16" spans="1:19" s="507" customFormat="1" ht="29.45" customHeight="1" x14ac:dyDescent="0.25">
      <c r="A16" s="305">
        <v>20</v>
      </c>
      <c r="B16" s="319" t="s">
        <v>92</v>
      </c>
      <c r="C16" s="503" t="s">
        <v>228</v>
      </c>
      <c r="D16" s="288">
        <v>0.04</v>
      </c>
      <c r="E16" s="305" t="s">
        <v>93</v>
      </c>
      <c r="F16" s="277">
        <v>27</v>
      </c>
      <c r="G16" s="319" t="s">
        <v>193</v>
      </c>
      <c r="H16" s="504">
        <v>1</v>
      </c>
      <c r="I16" s="289">
        <f t="shared" si="0"/>
        <v>1.08</v>
      </c>
      <c r="J16" s="508"/>
      <c r="K16" s="508"/>
      <c r="L16" s="508"/>
      <c r="M16" s="508"/>
      <c r="N16" s="508"/>
      <c r="O16" s="509"/>
    </row>
    <row r="17" spans="1:15" s="507" customFormat="1" ht="16.149999999999999" customHeight="1" x14ac:dyDescent="0.25">
      <c r="A17" s="499">
        <v>30</v>
      </c>
      <c r="B17" s="319" t="s">
        <v>91</v>
      </c>
      <c r="C17" s="500"/>
      <c r="D17" s="501">
        <v>0.65</v>
      </c>
      <c r="E17" s="319" t="s">
        <v>32</v>
      </c>
      <c r="F17" s="500">
        <v>1</v>
      </c>
      <c r="G17" s="500"/>
      <c r="H17" s="500"/>
      <c r="I17" s="502">
        <f t="shared" si="0"/>
        <v>0.65</v>
      </c>
      <c r="J17" s="510"/>
      <c r="K17" s="510"/>
      <c r="L17" s="510"/>
      <c r="M17" s="510"/>
      <c r="N17" s="510"/>
      <c r="O17" s="511"/>
    </row>
    <row r="18" spans="1:15" s="507" customFormat="1" ht="27" customHeight="1" x14ac:dyDescent="0.25">
      <c r="A18" s="305">
        <v>40</v>
      </c>
      <c r="B18" s="319" t="s">
        <v>92</v>
      </c>
      <c r="C18" s="503" t="s">
        <v>186</v>
      </c>
      <c r="D18" s="288">
        <v>0.04</v>
      </c>
      <c r="E18" s="305" t="s">
        <v>93</v>
      </c>
      <c r="F18" s="277">
        <v>2.2999999999999998</v>
      </c>
      <c r="G18" s="319" t="s">
        <v>193</v>
      </c>
      <c r="H18" s="504">
        <v>1</v>
      </c>
      <c r="I18" s="289">
        <f t="shared" si="0"/>
        <v>9.1999999999999998E-2</v>
      </c>
      <c r="J18" s="508"/>
      <c r="K18" s="508"/>
      <c r="L18" s="508"/>
      <c r="M18" s="508"/>
      <c r="N18" s="508"/>
      <c r="O18" s="509"/>
    </row>
    <row r="19" spans="1:15" s="507" customFormat="1" ht="15.6" customHeight="1" x14ac:dyDescent="0.25">
      <c r="A19" s="499">
        <v>50</v>
      </c>
      <c r="B19" s="319" t="s">
        <v>91</v>
      </c>
      <c r="C19" s="500"/>
      <c r="D19" s="501">
        <v>0.65</v>
      </c>
      <c r="E19" s="319" t="s">
        <v>32</v>
      </c>
      <c r="F19" s="500">
        <v>1</v>
      </c>
      <c r="G19" s="500"/>
      <c r="H19" s="500"/>
      <c r="I19" s="502">
        <f t="shared" si="0"/>
        <v>0.65</v>
      </c>
      <c r="J19" s="508"/>
      <c r="K19" s="508"/>
      <c r="L19" s="508"/>
      <c r="M19" s="508"/>
      <c r="N19" s="508"/>
      <c r="O19" s="509"/>
    </row>
    <row r="20" spans="1:15" s="507" customFormat="1" ht="28.15" customHeight="1" x14ac:dyDescent="0.25">
      <c r="A20" s="305">
        <v>60</v>
      </c>
      <c r="B20" s="319" t="s">
        <v>92</v>
      </c>
      <c r="C20" s="503" t="s">
        <v>187</v>
      </c>
      <c r="D20" s="288">
        <v>0.04</v>
      </c>
      <c r="E20" s="305" t="s">
        <v>93</v>
      </c>
      <c r="F20" s="277">
        <v>2.2999999999999998</v>
      </c>
      <c r="G20" s="319" t="s">
        <v>193</v>
      </c>
      <c r="H20" s="504">
        <v>1</v>
      </c>
      <c r="I20" s="289">
        <f t="shared" si="0"/>
        <v>9.1999999999999998E-2</v>
      </c>
      <c r="J20" s="508"/>
      <c r="K20" s="508"/>
      <c r="L20" s="508"/>
      <c r="M20" s="508"/>
      <c r="N20" s="508"/>
      <c r="O20" s="509"/>
    </row>
    <row r="21" spans="1:15" s="507" customFormat="1" ht="28.9" customHeight="1" x14ac:dyDescent="0.25">
      <c r="A21" s="499">
        <v>70</v>
      </c>
      <c r="B21" s="319" t="s">
        <v>91</v>
      </c>
      <c r="C21" s="500"/>
      <c r="D21" s="501">
        <v>0.65</v>
      </c>
      <c r="E21" s="319" t="s">
        <v>32</v>
      </c>
      <c r="F21" s="500">
        <v>1</v>
      </c>
      <c r="G21" s="500"/>
      <c r="H21" s="500"/>
      <c r="I21" s="502">
        <f t="shared" si="0"/>
        <v>0.65</v>
      </c>
      <c r="J21" s="512"/>
      <c r="K21" s="512"/>
      <c r="L21" s="512"/>
      <c r="M21" s="512"/>
      <c r="N21" s="512"/>
      <c r="O21" s="509"/>
    </row>
    <row r="22" spans="1:15" s="507" customFormat="1" ht="27.6" customHeight="1" x14ac:dyDescent="0.25">
      <c r="A22" s="305">
        <v>80</v>
      </c>
      <c r="B22" s="319" t="s">
        <v>92</v>
      </c>
      <c r="C22" s="503" t="s">
        <v>226</v>
      </c>
      <c r="D22" s="288">
        <v>0.04</v>
      </c>
      <c r="E22" s="305" t="s">
        <v>93</v>
      </c>
      <c r="F22" s="277">
        <v>6</v>
      </c>
      <c r="G22" s="319" t="s">
        <v>193</v>
      </c>
      <c r="H22" s="504">
        <v>1</v>
      </c>
      <c r="I22" s="289">
        <f t="shared" si="0"/>
        <v>0.24</v>
      </c>
      <c r="J22" s="513"/>
      <c r="K22" s="508"/>
      <c r="L22" s="508"/>
      <c r="M22" s="508"/>
      <c r="N22" s="508"/>
      <c r="O22" s="509"/>
    </row>
    <row r="23" spans="1:15" x14ac:dyDescent="0.25">
      <c r="A23" s="171"/>
      <c r="B23" s="172"/>
      <c r="C23" s="172"/>
      <c r="D23" s="172"/>
      <c r="E23" s="172"/>
      <c r="F23" s="172"/>
      <c r="G23" s="172"/>
      <c r="H23" s="204" t="s">
        <v>18</v>
      </c>
      <c r="I23" s="198">
        <f>SUM(I15:I22)</f>
        <v>4.7540000000000004</v>
      </c>
      <c r="J23" s="172"/>
      <c r="K23" s="172"/>
      <c r="L23" s="172"/>
      <c r="M23" s="172"/>
      <c r="N23" s="172"/>
      <c r="O23" s="152"/>
    </row>
    <row r="24" spans="1:15" ht="15.75" thickBot="1" x14ac:dyDescent="0.3">
      <c r="A24" s="181"/>
      <c r="B24" s="182"/>
      <c r="C24" s="182"/>
      <c r="D24" s="182"/>
      <c r="E24" s="182"/>
      <c r="F24" s="182"/>
      <c r="G24" s="182"/>
      <c r="H24" s="182"/>
      <c r="I24" s="182"/>
      <c r="J24" s="182"/>
      <c r="K24" s="182"/>
      <c r="L24" s="182"/>
      <c r="M24" s="182"/>
      <c r="N24" s="182"/>
      <c r="O24" s="183"/>
    </row>
  </sheetData>
  <hyperlinks>
    <hyperlink ref="B4" location="SU_A0400" display="Lower Back A-arm" xr:uid="{00000000-0004-0000-4100-000000000000}"/>
    <hyperlink ref="E3" location="dSU_04001" display="Drawing" xr:uid="{00000000-0004-0000-4100-000001000000}"/>
    <hyperlink ref="G2" location="SU_A0400_BOM" display="Back to BOM" xr:uid="{00000000-0004-0000-4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" style="147" customWidth="1"/>
    <col min="2" max="16384" width="11.42578125" style="147"/>
  </cols>
  <sheetData>
    <row r="1" spans="1:2" x14ac:dyDescent="0.25">
      <c r="A1" s="147" t="s">
        <v>99</v>
      </c>
      <c r="B1" s="270" t="s">
        <v>145</v>
      </c>
    </row>
  </sheetData>
  <hyperlinks>
    <hyperlink ref="B1" location="SU_04001" display="SU_04001" xr:uid="{00000000-0004-0000-4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3.140625" style="147" customWidth="1"/>
    <col min="3" max="6" width="11.42578125" style="147"/>
    <col min="7" max="7" width="13.28515625" style="147" customWidth="1"/>
    <col min="8" max="8" width="11.42578125" style="147"/>
    <col min="9" max="9" width="21.42578125" style="147" customWidth="1"/>
    <col min="10" max="17" width="11.42578125" style="147"/>
    <col min="18" max="18" width="13.85546875" style="147" bestFit="1" customWidth="1"/>
    <col min="19" max="16384" width="11.42578125" style="147"/>
  </cols>
  <sheetData>
    <row r="1" spans="1:19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9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N12+I21</f>
        <v>1.8728805440000003</v>
      </c>
      <c r="O2" s="152"/>
    </row>
    <row r="3" spans="1:19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270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2</v>
      </c>
      <c r="O3" s="152"/>
    </row>
    <row r="4" spans="1:19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9" x14ac:dyDescent="0.25">
      <c r="A5" s="184" t="s">
        <v>15</v>
      </c>
      <c r="B5" s="73" t="s">
        <v>90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3.7457610880000005</v>
      </c>
      <c r="O5" s="152"/>
    </row>
    <row r="6" spans="1:19" x14ac:dyDescent="0.25">
      <c r="A6" s="184" t="s">
        <v>7</v>
      </c>
      <c r="B6" s="187" t="s">
        <v>146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9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9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9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9" customFormat="1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25">
      <c r="A11" s="85">
        <v>10</v>
      </c>
      <c r="B11" s="26" t="s">
        <v>66</v>
      </c>
      <c r="C11" s="20" t="s">
        <v>38</v>
      </c>
      <c r="D11" s="272">
        <f>4.2</f>
        <v>4.2</v>
      </c>
      <c r="E11" s="252">
        <f>J11*K11*L11</f>
        <v>0.20437632</v>
      </c>
      <c r="F11" s="20" t="s">
        <v>94</v>
      </c>
      <c r="G11" s="20"/>
      <c r="H11" s="273"/>
      <c r="I11" s="21" t="s">
        <v>95</v>
      </c>
      <c r="J11" s="242">
        <f>3.14*20*20/1000000</f>
        <v>1.256E-3</v>
      </c>
      <c r="K11" s="251">
        <v>0.06</v>
      </c>
      <c r="L11" s="79">
        <v>2712</v>
      </c>
      <c r="M11" s="23">
        <v>1</v>
      </c>
      <c r="N11" s="272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0.85838054400000008</v>
      </c>
      <c r="O12" s="152"/>
    </row>
    <row r="13" spans="1:19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R13" s="199">
        <f>J11*K11/4</f>
        <v>1.8839999999999999E-5</v>
      </c>
      <c r="S13" s="199"/>
    </row>
    <row r="14" spans="1:19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  <c r="R14" s="199">
        <f>R13/2</f>
        <v>9.4199999999999996E-6</v>
      </c>
    </row>
    <row r="15" spans="1:19" customFormat="1" ht="26.45" customHeight="1" x14ac:dyDescent="0.25">
      <c r="A15" s="321">
        <v>10</v>
      </c>
      <c r="B15" s="322" t="s">
        <v>39</v>
      </c>
      <c r="C15" s="321"/>
      <c r="D15" s="323">
        <v>1.3</v>
      </c>
      <c r="E15" s="322" t="s">
        <v>32</v>
      </c>
      <c r="F15" s="321">
        <v>1</v>
      </c>
      <c r="G15" s="321" t="s">
        <v>553</v>
      </c>
      <c r="H15" s="321">
        <f>1/16</f>
        <v>6.25E-2</v>
      </c>
      <c r="I15" s="324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15" customHeight="1" x14ac:dyDescent="0.25">
      <c r="A16" s="325">
        <v>20</v>
      </c>
      <c r="B16" s="322" t="s">
        <v>92</v>
      </c>
      <c r="C16" s="326" t="s">
        <v>192</v>
      </c>
      <c r="D16" s="327">
        <v>0.04</v>
      </c>
      <c r="E16" s="325" t="s">
        <v>93</v>
      </c>
      <c r="F16" s="328">
        <v>17</v>
      </c>
      <c r="G16" s="322" t="s">
        <v>247</v>
      </c>
      <c r="H16" s="227">
        <v>1</v>
      </c>
      <c r="I16" s="329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9" customHeight="1" x14ac:dyDescent="0.25">
      <c r="A17" s="321">
        <v>30</v>
      </c>
      <c r="B17" s="322" t="s">
        <v>91</v>
      </c>
      <c r="C17" s="321"/>
      <c r="D17" s="323">
        <v>0.65</v>
      </c>
      <c r="E17" s="322" t="s">
        <v>32</v>
      </c>
      <c r="F17" s="321">
        <v>1</v>
      </c>
      <c r="G17" s="321" t="s">
        <v>553</v>
      </c>
      <c r="H17" s="321">
        <f>1/16</f>
        <v>6.25E-2</v>
      </c>
      <c r="I17" s="324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25">
      <c r="A18" s="325">
        <v>40</v>
      </c>
      <c r="B18" s="322" t="s">
        <v>92</v>
      </c>
      <c r="C18" s="326" t="s">
        <v>194</v>
      </c>
      <c r="D18" s="327">
        <v>0.04</v>
      </c>
      <c r="E18" s="325" t="s">
        <v>93</v>
      </c>
      <c r="F18" s="328">
        <v>2</v>
      </c>
      <c r="G18" s="322" t="s">
        <v>193</v>
      </c>
      <c r="H18" s="227">
        <v>1</v>
      </c>
      <c r="I18" s="329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30" x14ac:dyDescent="0.25">
      <c r="A19" s="321">
        <v>50</v>
      </c>
      <c r="B19" s="322" t="s">
        <v>91</v>
      </c>
      <c r="C19" s="321"/>
      <c r="D19" s="323">
        <v>0.65</v>
      </c>
      <c r="E19" s="322" t="s">
        <v>32</v>
      </c>
      <c r="F19" s="321">
        <v>1</v>
      </c>
      <c r="G19" s="321" t="s">
        <v>553</v>
      </c>
      <c r="H19" s="321">
        <f>1/16</f>
        <v>6.25E-2</v>
      </c>
      <c r="I19" s="324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5" customHeight="1" x14ac:dyDescent="0.25">
      <c r="A20" s="325">
        <v>60</v>
      </c>
      <c r="B20" s="322" t="s">
        <v>92</v>
      </c>
      <c r="C20" s="326" t="s">
        <v>195</v>
      </c>
      <c r="D20" s="327">
        <v>0.04</v>
      </c>
      <c r="E20" s="325" t="s">
        <v>93</v>
      </c>
      <c r="F20" s="328">
        <v>2.2999999999999998</v>
      </c>
      <c r="G20" s="322" t="s">
        <v>246</v>
      </c>
      <c r="H20" s="227">
        <v>1</v>
      </c>
      <c r="I20" s="329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171"/>
      <c r="B21" s="172"/>
      <c r="C21" s="172"/>
      <c r="D21" s="172"/>
      <c r="E21" s="172"/>
      <c r="F21" s="172"/>
      <c r="G21" s="172"/>
      <c r="H21" s="204" t="s">
        <v>18</v>
      </c>
      <c r="I21" s="198">
        <f>SUM(I15:I20)</f>
        <v>1.0145000000000002</v>
      </c>
      <c r="J21" s="172"/>
      <c r="K21" s="172"/>
      <c r="L21" s="172"/>
      <c r="M21" s="172"/>
      <c r="N21" s="172"/>
      <c r="O21" s="152"/>
    </row>
    <row r="22" spans="1:19" ht="15.75" thickBot="1" x14ac:dyDescent="0.3">
      <c r="A22" s="181"/>
      <c r="B22" s="182"/>
      <c r="C22" s="182"/>
      <c r="D22" s="182"/>
      <c r="E22" s="182"/>
      <c r="F22" s="182"/>
      <c r="G22" s="182"/>
      <c r="H22" s="182"/>
      <c r="I22" s="182"/>
      <c r="J22" s="182"/>
      <c r="K22" s="182"/>
      <c r="L22" s="182"/>
      <c r="M22" s="182"/>
      <c r="N22" s="182"/>
      <c r="O22" s="183"/>
    </row>
  </sheetData>
  <hyperlinks>
    <hyperlink ref="E3" location="dSU_04002" display="Drawing" xr:uid="{00000000-0004-0000-4300-000000000000}"/>
    <hyperlink ref="G2" location="SU_A0400_BOM" display="Back to BOM" xr:uid="{00000000-0004-0000-4300-000001000000}"/>
    <hyperlink ref="B4" location="SU_A0400" display="Lower Back A-arm" xr:uid="{00000000-0004-0000-4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8.85546875" style="147" customWidth="1"/>
    <col min="2" max="16384" width="11.42578125" style="147"/>
  </cols>
  <sheetData>
    <row r="1" spans="1:2" x14ac:dyDescent="0.25">
      <c r="A1" s="147" t="s">
        <v>99</v>
      </c>
      <c r="B1" s="270" t="s">
        <v>146</v>
      </c>
    </row>
    <row r="4" spans="1:2" x14ac:dyDescent="0.25">
      <c r="B4" s="147" t="s">
        <v>105</v>
      </c>
    </row>
    <row r="5" spans="1:2" x14ac:dyDescent="0.25">
      <c r="B5" s="147" t="s">
        <v>106</v>
      </c>
    </row>
    <row r="6" spans="1:2" x14ac:dyDescent="0.25">
      <c r="B6" s="209"/>
    </row>
  </sheetData>
  <hyperlinks>
    <hyperlink ref="B1" location="SU_04002" display="SU_04002" xr:uid="{00000000-0004-0000-4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1" fitToHeight="99" orientation="landscape" r:id="rId1"/>
  <headerFooter>
    <oddFooter>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H22" sqref="H22"/>
    </sheetView>
  </sheetViews>
  <sheetFormatPr baseColWidth="10" defaultRowHeight="15" x14ac:dyDescent="0.25"/>
  <cols>
    <col min="2" max="2" width="19.42578125" customWidth="1"/>
    <col min="3" max="3" width="27" customWidth="1"/>
    <col min="5" max="5" width="14.7109375" customWidth="1"/>
    <col min="7" max="8" width="9.140625" customWidth="1"/>
    <col min="13" max="13" width="12.42578125" customWidth="1"/>
  </cols>
  <sheetData>
    <row r="1" spans="1:15" x14ac:dyDescent="0.25">
      <c r="A1" s="330"/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2"/>
    </row>
    <row r="2" spans="1:15" x14ac:dyDescent="0.25">
      <c r="A2" s="333" t="s">
        <v>0</v>
      </c>
      <c r="B2" s="334" t="s">
        <v>37</v>
      </c>
      <c r="C2" s="335"/>
      <c r="D2" s="335"/>
      <c r="E2" s="335"/>
      <c r="F2" s="335"/>
      <c r="G2" s="336" t="s">
        <v>62</v>
      </c>
      <c r="H2" s="335"/>
      <c r="I2" s="335"/>
      <c r="J2" s="337" t="s">
        <v>1</v>
      </c>
      <c r="K2" s="338">
        <v>81</v>
      </c>
      <c r="L2" s="335"/>
      <c r="M2" s="333" t="s">
        <v>16</v>
      </c>
      <c r="N2" s="339">
        <f>N12+I16</f>
        <v>8.8765790399999975</v>
      </c>
      <c r="O2" s="340"/>
    </row>
    <row r="3" spans="1:15" x14ac:dyDescent="0.25">
      <c r="A3" s="333" t="s">
        <v>3</v>
      </c>
      <c r="B3" s="334" t="str">
        <f>'SU A0100'!B3</f>
        <v>Suspension &amp; Shocks</v>
      </c>
      <c r="C3" s="335"/>
      <c r="D3" s="333" t="s">
        <v>6</v>
      </c>
      <c r="E3" s="341" t="s">
        <v>60</v>
      </c>
      <c r="F3" s="335"/>
      <c r="G3" s="335"/>
      <c r="H3" s="335"/>
      <c r="I3" s="335"/>
      <c r="J3" s="335"/>
      <c r="K3" s="335"/>
      <c r="L3" s="335"/>
      <c r="M3" s="333" t="s">
        <v>4</v>
      </c>
      <c r="N3" s="342">
        <v>1</v>
      </c>
      <c r="O3" s="340"/>
    </row>
    <row r="4" spans="1:15" x14ac:dyDescent="0.25">
      <c r="A4" s="333" t="s">
        <v>5</v>
      </c>
      <c r="B4" s="336" t="str">
        <f>'SU A0100'!B4</f>
        <v>Upper Front A-arm</v>
      </c>
      <c r="C4" s="335"/>
      <c r="D4" s="333" t="s">
        <v>8</v>
      </c>
      <c r="E4" s="335"/>
      <c r="F4" s="335"/>
      <c r="G4" s="335"/>
      <c r="H4" s="335"/>
      <c r="I4" s="335"/>
      <c r="J4" s="343" t="s">
        <v>6</v>
      </c>
      <c r="K4" s="335"/>
      <c r="L4" s="335"/>
      <c r="M4" s="335"/>
      <c r="N4" s="335"/>
      <c r="O4" s="340"/>
    </row>
    <row r="5" spans="1:15" x14ac:dyDescent="0.25">
      <c r="A5" s="1212" t="s">
        <v>15</v>
      </c>
      <c r="B5" s="1213" t="s">
        <v>87</v>
      </c>
      <c r="C5" s="335"/>
      <c r="D5" s="333" t="s">
        <v>12</v>
      </c>
      <c r="E5" s="335"/>
      <c r="F5" s="335"/>
      <c r="G5" s="335"/>
      <c r="H5" s="335"/>
      <c r="I5" s="335"/>
      <c r="J5" s="343" t="s">
        <v>8</v>
      </c>
      <c r="K5" s="335"/>
      <c r="L5" s="335"/>
      <c r="M5" s="333" t="s">
        <v>9</v>
      </c>
      <c r="N5" s="339">
        <f>N3*N2</f>
        <v>8.8765790399999975</v>
      </c>
      <c r="O5" s="340"/>
    </row>
    <row r="6" spans="1:15" x14ac:dyDescent="0.25">
      <c r="A6" s="333" t="s">
        <v>7</v>
      </c>
      <c r="B6" s="344" t="s">
        <v>104</v>
      </c>
      <c r="C6" s="335"/>
      <c r="D6" s="335"/>
      <c r="E6" s="335"/>
      <c r="F6" s="335"/>
      <c r="G6" s="335"/>
      <c r="H6" s="335"/>
      <c r="I6" s="335"/>
      <c r="J6" s="343" t="s">
        <v>12</v>
      </c>
      <c r="K6" s="335"/>
      <c r="L6" s="335"/>
      <c r="M6" s="335"/>
      <c r="N6" s="335"/>
      <c r="O6" s="340"/>
    </row>
    <row r="7" spans="1:15" x14ac:dyDescent="0.25">
      <c r="A7" s="333" t="s">
        <v>10</v>
      </c>
      <c r="B7" s="334" t="s">
        <v>11</v>
      </c>
      <c r="C7" s="335"/>
      <c r="D7" s="335"/>
      <c r="E7" s="335"/>
      <c r="F7" s="335"/>
      <c r="G7" s="335"/>
      <c r="H7" s="335"/>
      <c r="I7" s="335"/>
      <c r="J7" s="335"/>
      <c r="K7" s="335"/>
      <c r="L7" s="335"/>
      <c r="M7" s="335"/>
      <c r="N7" s="335"/>
      <c r="O7" s="340"/>
    </row>
    <row r="8" spans="1:15" x14ac:dyDescent="0.25">
      <c r="A8" s="333" t="s">
        <v>13</v>
      </c>
      <c r="B8" s="334"/>
      <c r="C8" s="335"/>
      <c r="D8" s="335"/>
      <c r="E8" s="335"/>
      <c r="F8" s="335"/>
      <c r="G8" s="335"/>
      <c r="H8" s="335"/>
      <c r="I8" s="335"/>
      <c r="J8" s="335"/>
      <c r="K8" s="335"/>
      <c r="L8" s="335"/>
      <c r="M8" s="335"/>
      <c r="N8" s="335"/>
      <c r="O8" s="340"/>
    </row>
    <row r="9" spans="1:15" x14ac:dyDescent="0.25">
      <c r="A9" s="345"/>
      <c r="B9" s="346"/>
      <c r="C9" s="346"/>
      <c r="D9" s="346"/>
      <c r="E9" s="346"/>
      <c r="F9" s="335"/>
      <c r="G9" s="335"/>
      <c r="H9" s="335"/>
      <c r="I9" s="335"/>
      <c r="J9" s="335"/>
      <c r="K9" s="335"/>
      <c r="L9" s="335"/>
      <c r="M9" s="335"/>
      <c r="N9" s="335"/>
      <c r="O9" s="340"/>
    </row>
    <row r="10" spans="1:15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5" x14ac:dyDescent="0.25">
      <c r="A11" s="350">
        <v>10</v>
      </c>
      <c r="B11" s="351" t="s">
        <v>117</v>
      </c>
      <c r="C11" s="352" t="s">
        <v>118</v>
      </c>
      <c r="D11" s="141">
        <f>200*E11*L11</f>
        <v>7.8902924799999985</v>
      </c>
      <c r="E11" s="353">
        <f>J11*K11</f>
        <v>2.4969279999999993E-5</v>
      </c>
      <c r="F11" s="354" t="s">
        <v>119</v>
      </c>
      <c r="G11" s="354"/>
      <c r="H11" s="355"/>
      <c r="I11" s="356" t="s">
        <v>96</v>
      </c>
      <c r="J11" s="357">
        <f>3.14*(0.008*0.008-0.006*0.006)</f>
        <v>8.7919999999999985E-5</v>
      </c>
      <c r="K11" s="358">
        <v>0.28399999999999997</v>
      </c>
      <c r="L11" s="359">
        <v>1580</v>
      </c>
      <c r="M11" s="360">
        <v>1</v>
      </c>
      <c r="N11" s="361">
        <f>D11*M11</f>
        <v>7.8902924799999985</v>
      </c>
      <c r="O11" s="362"/>
    </row>
    <row r="12" spans="1:15" x14ac:dyDescent="0.25">
      <c r="A12" s="363"/>
      <c r="B12" s="364"/>
      <c r="C12" s="364"/>
      <c r="D12" s="364"/>
      <c r="E12" s="364"/>
      <c r="F12" s="364"/>
      <c r="G12" s="364"/>
      <c r="H12" s="364"/>
      <c r="I12" s="364"/>
      <c r="J12" s="364"/>
      <c r="K12" s="364"/>
      <c r="L12" s="364"/>
      <c r="M12" s="365" t="s">
        <v>18</v>
      </c>
      <c r="N12" s="366">
        <f>SUM(N11:N11)</f>
        <v>7.8902924799999985</v>
      </c>
      <c r="O12" s="340"/>
    </row>
    <row r="13" spans="1:15" x14ac:dyDescent="0.25">
      <c r="A13" s="367"/>
      <c r="B13" s="335"/>
      <c r="C13" s="335"/>
      <c r="D13" s="335"/>
      <c r="E13" s="335"/>
      <c r="F13" s="335"/>
      <c r="G13" s="335"/>
      <c r="H13" s="335"/>
      <c r="I13" s="335"/>
      <c r="J13" s="335"/>
      <c r="K13" s="335"/>
      <c r="L13" s="335"/>
      <c r="M13" s="335"/>
      <c r="N13" s="335"/>
      <c r="O13" s="340"/>
    </row>
    <row r="14" spans="1:15" x14ac:dyDescent="0.25">
      <c r="A14" s="368" t="s">
        <v>14</v>
      </c>
      <c r="B14" s="349" t="s">
        <v>31</v>
      </c>
      <c r="C14" s="349" t="s">
        <v>20</v>
      </c>
      <c r="D14" s="349" t="s">
        <v>21</v>
      </c>
      <c r="E14" s="349" t="s">
        <v>32</v>
      </c>
      <c r="F14" s="349" t="s">
        <v>17</v>
      </c>
      <c r="G14" s="349" t="s">
        <v>33</v>
      </c>
      <c r="H14" s="349" t="s">
        <v>34</v>
      </c>
      <c r="I14" s="349" t="s">
        <v>18</v>
      </c>
      <c r="J14" s="364"/>
      <c r="K14" s="364"/>
      <c r="L14" s="364"/>
      <c r="M14" s="364"/>
      <c r="N14" s="364"/>
      <c r="O14" s="340"/>
    </row>
    <row r="15" spans="1:15" ht="30" x14ac:dyDescent="0.25">
      <c r="A15" s="351">
        <v>10</v>
      </c>
      <c r="B15" s="351" t="s">
        <v>139</v>
      </c>
      <c r="C15" s="351" t="s">
        <v>140</v>
      </c>
      <c r="D15" s="327">
        <v>25</v>
      </c>
      <c r="E15" s="322" t="s">
        <v>141</v>
      </c>
      <c r="F15" s="369">
        <f>J11*K11*L11</f>
        <v>3.9451462399999991E-2</v>
      </c>
      <c r="G15" s="227"/>
      <c r="H15" s="227"/>
      <c r="I15" s="329">
        <f>IF(H15="",D15*F15,D15*F15*H15)</f>
        <v>0.98628655999999981</v>
      </c>
      <c r="J15" s="370"/>
      <c r="K15" s="370"/>
      <c r="L15" s="370"/>
      <c r="M15" s="370"/>
      <c r="N15" s="370"/>
      <c r="O15" s="371"/>
    </row>
    <row r="16" spans="1:15" x14ac:dyDescent="0.25">
      <c r="A16" s="363"/>
      <c r="B16" s="364"/>
      <c r="C16" s="364"/>
      <c r="D16" s="364"/>
      <c r="E16" s="364"/>
      <c r="F16" s="364"/>
      <c r="G16" s="364"/>
      <c r="H16" s="372" t="s">
        <v>18</v>
      </c>
      <c r="I16" s="366">
        <f>SUM(I15:I15)</f>
        <v>0.98628655999999981</v>
      </c>
      <c r="J16" s="364"/>
      <c r="K16" s="364"/>
      <c r="L16" s="364"/>
      <c r="M16" s="364"/>
      <c r="N16" s="364"/>
      <c r="O16" s="340"/>
    </row>
    <row r="17" spans="1:15" ht="15.75" thickBot="1" x14ac:dyDescent="0.3">
      <c r="A17" s="373"/>
      <c r="B17" s="374"/>
      <c r="C17" s="374"/>
      <c r="D17" s="374"/>
      <c r="E17" s="374"/>
      <c r="F17" s="374"/>
      <c r="G17" s="374"/>
      <c r="H17" s="374"/>
      <c r="I17" s="374"/>
      <c r="J17" s="374"/>
      <c r="K17" s="374"/>
      <c r="L17" s="374"/>
      <c r="M17" s="374"/>
      <c r="N17" s="374"/>
      <c r="O17" s="375"/>
    </row>
  </sheetData>
  <hyperlinks>
    <hyperlink ref="B4" location="'SU A0100'!A1" display="'SU A0100'!A1" xr:uid="{00000000-0004-0000-0600-000000000000}"/>
    <hyperlink ref="G2" location="SU_A0100_BOM" display="Back to BOM" xr:uid="{00000000-0004-0000-0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0.7109375" style="147" customWidth="1"/>
    <col min="3" max="3" width="33" style="147" customWidth="1"/>
    <col min="4" max="4" width="11.42578125" style="147"/>
    <col min="5" max="5" width="17" style="147" customWidth="1"/>
    <col min="6" max="16384" width="11.425781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12.033390599999997</v>
      </c>
      <c r="O2" s="152"/>
    </row>
    <row r="3" spans="1:15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147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5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5" x14ac:dyDescent="0.25">
      <c r="A5" s="184" t="s">
        <v>15</v>
      </c>
      <c r="B5" s="73" t="s">
        <v>147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12.033390599999997</v>
      </c>
      <c r="O5" s="152"/>
    </row>
    <row r="6" spans="1:15" x14ac:dyDescent="0.25">
      <c r="A6" s="184" t="s">
        <v>7</v>
      </c>
      <c r="B6" s="187" t="s">
        <v>148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5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10.696347199999998</v>
      </c>
      <c r="E11" s="21">
        <f>J11*K11</f>
        <v>3.3849199999999994E-5</v>
      </c>
      <c r="F11" s="20" t="s">
        <v>119</v>
      </c>
      <c r="G11" s="20"/>
      <c r="H11" s="273"/>
      <c r="I11" s="21" t="s">
        <v>96</v>
      </c>
      <c r="J11" s="242">
        <f>3.14*(0.008*0.008-0.006*0.006)</f>
        <v>8.7919999999999985E-5</v>
      </c>
      <c r="K11" s="78">
        <v>0.38500000000000001</v>
      </c>
      <c r="L11" s="79">
        <v>1580</v>
      </c>
      <c r="M11" s="139">
        <v>1</v>
      </c>
      <c r="N11" s="272">
        <f>D11*M11</f>
        <v>10.696347199999998</v>
      </c>
      <c r="O11" s="169"/>
    </row>
    <row r="12" spans="1:15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SUM(N11)</f>
        <v>10.696347199999998</v>
      </c>
      <c r="O12" s="152"/>
    </row>
    <row r="13" spans="1:15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</row>
    <row r="14" spans="1:15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</row>
    <row r="15" spans="1:15" ht="29.45" customHeight="1" x14ac:dyDescent="0.25">
      <c r="A15" s="137">
        <v>10</v>
      </c>
      <c r="B15" s="137" t="s">
        <v>139</v>
      </c>
      <c r="C15" s="137" t="s">
        <v>140</v>
      </c>
      <c r="D15" s="268">
        <v>25</v>
      </c>
      <c r="E15" s="271" t="s">
        <v>141</v>
      </c>
      <c r="F15" s="215">
        <f>J11*K11*L11</f>
        <v>5.3481735999999988E-2</v>
      </c>
      <c r="G15" s="211"/>
      <c r="H15" s="211"/>
      <c r="I15" s="214">
        <f>IF(H15="",D15*F15,D15*F15*H15)</f>
        <v>1.3370433999999998</v>
      </c>
      <c r="J15" s="180"/>
      <c r="K15" s="180"/>
      <c r="L15" s="180"/>
      <c r="M15" s="180"/>
      <c r="N15" s="180"/>
      <c r="O15" s="173"/>
    </row>
    <row r="16" spans="1:15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1.3370433999999998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G2" location="SU_A0400_BOM" display="Back to BOM" xr:uid="{00000000-0004-0000-4500-000000000000}"/>
    <hyperlink ref="B4" location="SU_A0400" display="Lower Back A-arm" xr:uid="{00000000-0004-0000-4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8.28515625" style="147" customWidth="1"/>
    <col min="3" max="3" width="46.7109375" style="147" customWidth="1"/>
    <col min="4" max="4" width="11.42578125" style="147"/>
    <col min="5" max="5" width="18.28515625" style="147" customWidth="1"/>
    <col min="6" max="10" width="11.42578125" style="147"/>
    <col min="11" max="11" width="9.140625" style="147" customWidth="1"/>
    <col min="12" max="12" width="7.85546875" style="147" customWidth="1"/>
    <col min="13" max="14" width="11.42578125" style="147"/>
    <col min="15" max="15" width="5" style="147" customWidth="1"/>
    <col min="16" max="16384" width="11.42578125" style="147"/>
  </cols>
  <sheetData>
    <row r="1" spans="1:15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5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7.4075677199999985</v>
      </c>
      <c r="O2" s="152"/>
    </row>
    <row r="3" spans="1:15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147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1</v>
      </c>
      <c r="O3" s="152"/>
    </row>
    <row r="4" spans="1:15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5" x14ac:dyDescent="0.25">
      <c r="A5" s="205" t="s">
        <v>15</v>
      </c>
      <c r="B5" s="206" t="s">
        <v>149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7.4075677199999985</v>
      </c>
      <c r="O5" s="152"/>
    </row>
    <row r="6" spans="1:15" x14ac:dyDescent="0.25">
      <c r="A6" s="184" t="s">
        <v>7</v>
      </c>
      <c r="B6" s="187" t="s">
        <v>150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5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5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5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5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f>200*E11*L11</f>
        <v>6.5845046399999987</v>
      </c>
      <c r="E11" s="21">
        <f>J11*K11</f>
        <v>2.0837039999999997E-5</v>
      </c>
      <c r="F11" s="20" t="s">
        <v>119</v>
      </c>
      <c r="G11" s="20"/>
      <c r="H11" s="273"/>
      <c r="I11" s="21" t="s">
        <v>96</v>
      </c>
      <c r="J11" s="242">
        <f>3.14*(0.008*0.008-0.006*0.006)</f>
        <v>8.7919999999999985E-5</v>
      </c>
      <c r="K11" s="78">
        <v>0.23699999999999999</v>
      </c>
      <c r="L11" s="79">
        <v>1580</v>
      </c>
      <c r="M11" s="139">
        <v>1</v>
      </c>
      <c r="N11" s="272">
        <f>D11*M11</f>
        <v>6.5845046399999987</v>
      </c>
      <c r="O11" s="169"/>
    </row>
    <row r="12" spans="1:15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SUM(N11)</f>
        <v>6.5845046399999987</v>
      </c>
      <c r="O12" s="152"/>
    </row>
    <row r="13" spans="1:15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</row>
    <row r="14" spans="1:15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</row>
    <row r="15" spans="1:15" ht="16.899999999999999" customHeight="1" x14ac:dyDescent="0.25">
      <c r="A15" s="137">
        <v>10</v>
      </c>
      <c r="B15" s="137" t="s">
        <v>139</v>
      </c>
      <c r="C15" s="137" t="s">
        <v>140</v>
      </c>
      <c r="D15" s="268">
        <v>25</v>
      </c>
      <c r="E15" s="271" t="s">
        <v>141</v>
      </c>
      <c r="F15" s="215">
        <f>J11*K11*L11</f>
        <v>3.2922523199999998E-2</v>
      </c>
      <c r="G15" s="211"/>
      <c r="H15" s="211"/>
      <c r="I15" s="214">
        <f>IF(H15="",D15*F15,D15*F15*H15)</f>
        <v>0.82306307999999995</v>
      </c>
      <c r="J15" s="180"/>
      <c r="K15" s="180"/>
      <c r="L15" s="180"/>
      <c r="M15" s="180"/>
      <c r="N15" s="180"/>
      <c r="O15" s="173"/>
    </row>
    <row r="16" spans="1:15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0.82306307999999995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G2" location="SU_A0400_BOM" display="Back to BOM" xr:uid="{00000000-0004-0000-4600-000000000000}"/>
    <hyperlink ref="B4" location="SU_A0400" display="Lower Back A-arm" xr:uid="{00000000-0004-0000-4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tToHeight="99" orientation="landscape" r:id="rId1"/>
  <headerFooter>
    <oddFooter>Page &amp;P</oddFoot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5.140625" style="147" customWidth="1"/>
    <col min="3" max="3" width="30.5703125" style="147" customWidth="1"/>
    <col min="4" max="8" width="11.42578125" style="147"/>
    <col min="9" max="9" width="14" style="147" customWidth="1"/>
    <col min="10" max="16" width="11.42578125" style="147"/>
    <col min="17" max="17" width="12.85546875" style="147" bestFit="1" customWidth="1"/>
    <col min="18" max="16384" width="11.42578125" style="147"/>
  </cols>
  <sheetData>
    <row r="1" spans="1:17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7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N12+I17</f>
        <v>1.6276857568</v>
      </c>
      <c r="O2" s="152"/>
    </row>
    <row r="3" spans="1:17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270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2</v>
      </c>
      <c r="O3" s="152"/>
    </row>
    <row r="4" spans="1:17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7" x14ac:dyDescent="0.25">
      <c r="A5" s="184" t="s">
        <v>15</v>
      </c>
      <c r="B5" s="155" t="s">
        <v>122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3.2553715136000001</v>
      </c>
      <c r="O5" s="152"/>
    </row>
    <row r="6" spans="1:17" x14ac:dyDescent="0.25">
      <c r="A6" s="184" t="s">
        <v>7</v>
      </c>
      <c r="B6" s="187" t="s">
        <v>151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7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7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7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7" x14ac:dyDescent="0.25">
      <c r="A10" s="190" t="s">
        <v>14</v>
      </c>
      <c r="B10" s="191" t="s">
        <v>19</v>
      </c>
      <c r="C10" s="191" t="s">
        <v>20</v>
      </c>
      <c r="D10" s="191" t="s">
        <v>21</v>
      </c>
      <c r="E10" s="191" t="s">
        <v>22</v>
      </c>
      <c r="F10" s="192" t="s">
        <v>23</v>
      </c>
      <c r="G10" s="192" t="s">
        <v>24</v>
      </c>
      <c r="H10" s="192" t="s">
        <v>25</v>
      </c>
      <c r="I10" s="192" t="s">
        <v>26</v>
      </c>
      <c r="J10" s="192" t="s">
        <v>27</v>
      </c>
      <c r="K10" s="192" t="s">
        <v>28</v>
      </c>
      <c r="L10" s="192" t="s">
        <v>29</v>
      </c>
      <c r="M10" s="192" t="s">
        <v>17</v>
      </c>
      <c r="N10" s="192" t="s">
        <v>18</v>
      </c>
      <c r="O10" s="152"/>
    </row>
    <row r="11" spans="1:17" x14ac:dyDescent="0.25">
      <c r="A11" s="193">
        <v>10</v>
      </c>
      <c r="B11" s="194" t="s">
        <v>98</v>
      </c>
      <c r="C11" s="195" t="s">
        <v>38</v>
      </c>
      <c r="D11" s="30">
        <v>2.25</v>
      </c>
      <c r="E11" s="207">
        <f>J11*K11*L11/1000000000</f>
        <v>1.2304780800000002E-2</v>
      </c>
      <c r="F11" s="195" t="s">
        <v>94</v>
      </c>
      <c r="G11" s="195"/>
      <c r="H11" s="19"/>
      <c r="I11" s="196" t="s">
        <v>97</v>
      </c>
      <c r="J11" s="94">
        <f>3.14*8*8</f>
        <v>200.96</v>
      </c>
      <c r="K11" s="78">
        <v>7.8</v>
      </c>
      <c r="L11" s="168">
        <v>7850</v>
      </c>
      <c r="M11" s="23">
        <v>1</v>
      </c>
      <c r="N11" s="30">
        <f>D11*E11</f>
        <v>2.7685756800000003E-2</v>
      </c>
      <c r="O11" s="169"/>
      <c r="Q11" s="199"/>
    </row>
    <row r="12" spans="1:17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2.7685756800000003E-2</v>
      </c>
      <c r="O12" s="152"/>
    </row>
    <row r="13" spans="1:17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</row>
    <row r="14" spans="1:17" x14ac:dyDescent="0.25">
      <c r="A14" s="200" t="s">
        <v>14</v>
      </c>
      <c r="B14" s="192" t="s">
        <v>31</v>
      </c>
      <c r="C14" s="192" t="s">
        <v>20</v>
      </c>
      <c r="D14" s="192" t="s">
        <v>21</v>
      </c>
      <c r="E14" s="192" t="s">
        <v>32</v>
      </c>
      <c r="F14" s="192" t="s">
        <v>17</v>
      </c>
      <c r="G14" s="192" t="s">
        <v>33</v>
      </c>
      <c r="H14" s="192" t="s">
        <v>34</v>
      </c>
      <c r="I14" s="192" t="s">
        <v>18</v>
      </c>
      <c r="J14" s="172"/>
      <c r="K14" s="172"/>
      <c r="L14" s="172"/>
      <c r="M14" s="172"/>
      <c r="N14" s="172"/>
      <c r="O14" s="152"/>
    </row>
    <row r="15" spans="1:17" ht="30" x14ac:dyDescent="0.25">
      <c r="A15" s="201">
        <v>10</v>
      </c>
      <c r="B15" s="27" t="s">
        <v>39</v>
      </c>
      <c r="C15" s="202" t="s">
        <v>68</v>
      </c>
      <c r="D15" s="32">
        <v>1.3</v>
      </c>
      <c r="E15" s="27" t="s">
        <v>35</v>
      </c>
      <c r="F15" s="202">
        <v>1</v>
      </c>
      <c r="G15" s="202"/>
      <c r="H15" s="202"/>
      <c r="I15" s="32">
        <f t="shared" ref="I15:I16" si="0">IF(H15="",D15*F15,D15*F15*H15)</f>
        <v>1.3</v>
      </c>
      <c r="J15" s="180"/>
      <c r="K15" s="180"/>
      <c r="L15" s="180"/>
      <c r="M15" s="180"/>
      <c r="N15" s="180"/>
      <c r="O15" s="173"/>
    </row>
    <row r="16" spans="1:17" x14ac:dyDescent="0.25">
      <c r="A16" s="203">
        <v>20</v>
      </c>
      <c r="B16" s="1165" t="s">
        <v>92</v>
      </c>
      <c r="C16" s="379" t="s">
        <v>196</v>
      </c>
      <c r="D16" s="30">
        <v>0.04</v>
      </c>
      <c r="E16" s="27" t="s">
        <v>93</v>
      </c>
      <c r="F16" s="208">
        <v>2.5</v>
      </c>
      <c r="G16" s="27" t="s">
        <v>552</v>
      </c>
      <c r="H16" s="194">
        <v>3</v>
      </c>
      <c r="I16" s="30">
        <f t="shared" si="0"/>
        <v>0.30000000000000004</v>
      </c>
      <c r="J16" s="150"/>
      <c r="K16" s="150"/>
      <c r="L16" s="150"/>
      <c r="M16" s="150"/>
      <c r="N16" s="150"/>
      <c r="O16" s="152"/>
    </row>
    <row r="17" spans="1:15" x14ac:dyDescent="0.25">
      <c r="A17" s="171"/>
      <c r="B17" s="172"/>
      <c r="C17" s="172"/>
      <c r="D17" s="172"/>
      <c r="E17" s="172"/>
      <c r="F17" s="172"/>
      <c r="G17" s="172"/>
      <c r="H17" s="204" t="s">
        <v>18</v>
      </c>
      <c r="I17" s="198">
        <f>SUM(I15:I16)</f>
        <v>1.6</v>
      </c>
      <c r="J17" s="172"/>
      <c r="K17" s="172"/>
      <c r="L17" s="172"/>
      <c r="M17" s="172"/>
      <c r="N17" s="172"/>
      <c r="O17" s="152"/>
    </row>
    <row r="18" spans="1:15" ht="15.75" thickBot="1" x14ac:dyDescent="0.3">
      <c r="A18" s="181"/>
      <c r="B18" s="182"/>
      <c r="C18" s="182"/>
      <c r="D18" s="182"/>
      <c r="E18" s="182"/>
      <c r="F18" s="182"/>
      <c r="G18" s="182"/>
      <c r="H18" s="182"/>
      <c r="I18" s="182"/>
      <c r="J18" s="182"/>
      <c r="K18" s="182"/>
      <c r="L18" s="182"/>
      <c r="M18" s="182"/>
      <c r="N18" s="182"/>
      <c r="O18" s="183"/>
    </row>
  </sheetData>
  <hyperlinks>
    <hyperlink ref="E3" location="dSU_04005" display="Drawing" xr:uid="{00000000-0004-0000-4700-000000000000}"/>
    <hyperlink ref="G2" location="SU_A0400_BOM" display="Back to BOM" xr:uid="{00000000-0004-0000-4700-000001000000}"/>
    <hyperlink ref="B4" location="SU_A0400" display="Lower Back A-arm" xr:uid="{00000000-0004-0000-4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2.5703125" style="147" customWidth="1"/>
    <col min="2" max="16384" width="11.42578125" style="147"/>
  </cols>
  <sheetData>
    <row r="1" spans="1:2" x14ac:dyDescent="0.25">
      <c r="A1" s="147" t="s">
        <v>99</v>
      </c>
      <c r="B1" s="270" t="s">
        <v>151</v>
      </c>
    </row>
  </sheetData>
  <hyperlinks>
    <hyperlink ref="B1" location="SU_04005" display="SU_04005" xr:uid="{00000000-0004-0000-4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2.140625" customWidth="1"/>
    <col min="3" max="3" width="16.5703125" customWidth="1"/>
    <col min="7" max="7" width="14.28515625" customWidth="1"/>
    <col min="13" max="13" width="13.7109375" customWidth="1"/>
  </cols>
  <sheetData>
    <row r="1" spans="1:15" x14ac:dyDescent="0.25">
      <c r="A1" s="144"/>
      <c r="B1" s="145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184" t="s">
        <v>0</v>
      </c>
      <c r="B2" s="149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0.80517824000000005</v>
      </c>
      <c r="O2" s="62"/>
    </row>
    <row r="3" spans="1:15" x14ac:dyDescent="0.25">
      <c r="A3" s="184" t="s">
        <v>3</v>
      </c>
      <c r="B3" s="149" t="str">
        <f>'SU A0400'!B3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25">
      <c r="A4" s="184" t="s">
        <v>5</v>
      </c>
      <c r="B4" s="87" t="s">
        <v>142</v>
      </c>
      <c r="C4" s="56"/>
      <c r="D4" s="99" t="s">
        <v>8</v>
      </c>
      <c r="E4" s="56"/>
      <c r="F4" s="56"/>
      <c r="G4" s="56"/>
      <c r="H4" s="56"/>
      <c r="I4" s="56"/>
      <c r="J4" s="621" t="s">
        <v>6</v>
      </c>
      <c r="K4" s="56"/>
      <c r="L4" s="56"/>
      <c r="M4" s="56"/>
      <c r="N4" s="56"/>
      <c r="O4" s="62"/>
    </row>
    <row r="5" spans="1:15" x14ac:dyDescent="0.25">
      <c r="A5" s="184" t="s">
        <v>15</v>
      </c>
      <c r="B5" s="155" t="s">
        <v>121</v>
      </c>
      <c r="C5" s="56"/>
      <c r="D5" s="99" t="s">
        <v>12</v>
      </c>
      <c r="E5" s="56"/>
      <c r="F5" s="56"/>
      <c r="G5" s="56"/>
      <c r="H5" s="56"/>
      <c r="I5" s="56"/>
      <c r="J5" s="621" t="s">
        <v>8</v>
      </c>
      <c r="K5" s="56"/>
      <c r="L5" s="56"/>
      <c r="M5" s="99" t="s">
        <v>9</v>
      </c>
      <c r="N5" s="74">
        <f>N3*N2</f>
        <v>3.2207129600000002</v>
      </c>
      <c r="O5" s="62"/>
    </row>
    <row r="6" spans="1:15" x14ac:dyDescent="0.25">
      <c r="A6" s="184" t="s">
        <v>7</v>
      </c>
      <c r="B6" s="187" t="s">
        <v>152</v>
      </c>
      <c r="C6" s="56"/>
      <c r="D6" s="56"/>
      <c r="E6" s="56"/>
      <c r="F6" s="56"/>
      <c r="G6" s="56"/>
      <c r="H6" s="56"/>
      <c r="I6" s="56"/>
      <c r="J6" s="621" t="s">
        <v>12</v>
      </c>
      <c r="K6" s="56"/>
      <c r="L6" s="56"/>
      <c r="M6" s="56"/>
      <c r="N6" s="56"/>
      <c r="O6" s="62"/>
    </row>
    <row r="7" spans="1:15" x14ac:dyDescent="0.25">
      <c r="A7" s="184" t="s">
        <v>10</v>
      </c>
      <c r="B7" s="149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184" t="s">
        <v>13</v>
      </c>
      <c r="B8" s="149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305">
        <v>10</v>
      </c>
      <c r="B11" s="503" t="s">
        <v>204</v>
      </c>
      <c r="C11" s="551"/>
      <c r="D11" s="552">
        <v>2.25</v>
      </c>
      <c r="E11" s="356">
        <f>J11*K11*L11</f>
        <v>6.3101440000000009E-2</v>
      </c>
      <c r="F11" s="354" t="s">
        <v>94</v>
      </c>
      <c r="G11" s="354"/>
      <c r="H11" s="355"/>
      <c r="I11" s="356" t="s">
        <v>97</v>
      </c>
      <c r="J11" s="357">
        <f>3.14*8*8/1000000</f>
        <v>2.0096E-4</v>
      </c>
      <c r="K11" s="381">
        <v>0.04</v>
      </c>
      <c r="L11" s="359">
        <v>7850</v>
      </c>
      <c r="M11" s="360">
        <v>1</v>
      </c>
      <c r="N11" s="361">
        <f>D11*E11*M11</f>
        <v>0.14197824000000003</v>
      </c>
      <c r="O11" s="362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9.45" customHeight="1" x14ac:dyDescent="0.25">
      <c r="A15" s="322">
        <v>10</v>
      </c>
      <c r="B15" s="322" t="s">
        <v>39</v>
      </c>
      <c r="C15" s="322" t="s">
        <v>68</v>
      </c>
      <c r="D15" s="327">
        <v>1.3</v>
      </c>
      <c r="E15" s="322" t="s">
        <v>32</v>
      </c>
      <c r="F15" s="227">
        <v>1</v>
      </c>
      <c r="G15" s="321" t="s">
        <v>221</v>
      </c>
      <c r="H15" s="321">
        <v>0.5</v>
      </c>
      <c r="I15" s="329">
        <f>IF(H15="",D15*F15,D15*F15*H15)</f>
        <v>0.65</v>
      </c>
      <c r="J15" s="370"/>
      <c r="K15" s="370"/>
      <c r="L15" s="370"/>
      <c r="M15" s="370"/>
      <c r="N15" s="370"/>
      <c r="O15" s="371"/>
    </row>
    <row r="16" spans="1:15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0.11</v>
      </c>
      <c r="G16" s="379" t="s">
        <v>197</v>
      </c>
      <c r="H16" s="379">
        <v>3</v>
      </c>
      <c r="I16" s="329">
        <f>IF(H16="",D16*F16,D16*F16*H16)</f>
        <v>1.32E-2</v>
      </c>
      <c r="J16" s="335"/>
      <c r="K16" s="335"/>
      <c r="L16" s="335"/>
      <c r="M16" s="335"/>
      <c r="N16" s="335"/>
      <c r="O16" s="340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0.66320000000000001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2005" display="Drawing" xr:uid="{00000000-0004-0000-4900-000000000000}"/>
    <hyperlink ref="G2" location="SU_A0400_BOM" display="Back to BOM" xr:uid="{00000000-0004-0000-4900-000001000000}"/>
    <hyperlink ref="B4" location="SU_A0400" display="Lower Back A-arm" xr:uid="{00000000-0004-0000-4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152</v>
      </c>
    </row>
  </sheetData>
  <hyperlinks>
    <hyperlink ref="B1" location="SU_04006" display="SU_04006" xr:uid="{00000000-0004-0000-4A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47"/>
    <col min="2" max="2" width="28.7109375" style="147" customWidth="1"/>
    <col min="3" max="3" width="24.28515625" style="147" customWidth="1"/>
    <col min="4" max="8" width="11.42578125" style="147"/>
    <col min="9" max="9" width="15.28515625" style="147" customWidth="1"/>
    <col min="10" max="16" width="11.42578125" style="147"/>
    <col min="17" max="17" width="12.85546875" style="147" bestFit="1" customWidth="1"/>
    <col min="18" max="16384" width="11.42578125" style="147"/>
  </cols>
  <sheetData>
    <row r="1" spans="1:17" x14ac:dyDescent="0.25">
      <c r="A1" s="144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  <c r="O1" s="146"/>
    </row>
    <row r="2" spans="1:17" x14ac:dyDescent="0.25">
      <c r="A2" s="184" t="s">
        <v>0</v>
      </c>
      <c r="B2" s="149" t="s">
        <v>37</v>
      </c>
      <c r="C2" s="150"/>
      <c r="D2" s="150"/>
      <c r="E2" s="150"/>
      <c r="F2" s="150"/>
      <c r="G2" s="87" t="s">
        <v>62</v>
      </c>
      <c r="H2" s="150"/>
      <c r="I2" s="150"/>
      <c r="J2" s="185" t="s">
        <v>1</v>
      </c>
      <c r="K2" s="151">
        <v>81</v>
      </c>
      <c r="L2" s="150"/>
      <c r="M2" s="184" t="s">
        <v>16</v>
      </c>
      <c r="N2" s="74">
        <f>N12+I16</f>
        <v>0.47719727680000001</v>
      </c>
      <c r="O2" s="152"/>
    </row>
    <row r="3" spans="1:17" x14ac:dyDescent="0.25">
      <c r="A3" s="184" t="s">
        <v>3</v>
      </c>
      <c r="B3" s="149" t="str">
        <f>'SU A0400'!B3</f>
        <v>Suspension &amp; Shocks</v>
      </c>
      <c r="C3" s="150"/>
      <c r="D3" s="184" t="s">
        <v>6</v>
      </c>
      <c r="E3" s="270" t="s">
        <v>60</v>
      </c>
      <c r="F3" s="150"/>
      <c r="G3" s="150"/>
      <c r="H3" s="150"/>
      <c r="I3" s="150"/>
      <c r="J3" s="150"/>
      <c r="K3" s="150"/>
      <c r="L3" s="150"/>
      <c r="M3" s="184" t="s">
        <v>4</v>
      </c>
      <c r="N3" s="82">
        <v>2</v>
      </c>
      <c r="O3" s="152"/>
    </row>
    <row r="4" spans="1:17" x14ac:dyDescent="0.25">
      <c r="A4" s="184" t="s">
        <v>5</v>
      </c>
      <c r="B4" s="87" t="s">
        <v>142</v>
      </c>
      <c r="C4" s="150"/>
      <c r="D4" s="184" t="s">
        <v>8</v>
      </c>
      <c r="E4" s="150"/>
      <c r="F4" s="150"/>
      <c r="G4" s="150"/>
      <c r="H4" s="150"/>
      <c r="I4" s="150"/>
      <c r="J4" s="186" t="s">
        <v>6</v>
      </c>
      <c r="K4" s="150"/>
      <c r="L4" s="150"/>
      <c r="M4" s="150"/>
      <c r="N4" s="150"/>
      <c r="O4" s="152"/>
    </row>
    <row r="5" spans="1:17" x14ac:dyDescent="0.25">
      <c r="A5" s="184" t="s">
        <v>15</v>
      </c>
      <c r="B5" s="157" t="s">
        <v>69</v>
      </c>
      <c r="C5" s="150"/>
      <c r="D5" s="184" t="s">
        <v>12</v>
      </c>
      <c r="E5" s="150"/>
      <c r="F5" s="150"/>
      <c r="G5" s="150"/>
      <c r="H5" s="150"/>
      <c r="I5" s="150"/>
      <c r="J5" s="186" t="s">
        <v>8</v>
      </c>
      <c r="K5" s="150"/>
      <c r="L5" s="150"/>
      <c r="M5" s="184" t="s">
        <v>9</v>
      </c>
      <c r="N5" s="74">
        <f>N3*N2</f>
        <v>0.95439455360000003</v>
      </c>
      <c r="O5" s="152"/>
    </row>
    <row r="6" spans="1:17" x14ac:dyDescent="0.25">
      <c r="A6" s="184" t="s">
        <v>7</v>
      </c>
      <c r="B6" s="187" t="s">
        <v>248</v>
      </c>
      <c r="C6" s="150"/>
      <c r="D6" s="150"/>
      <c r="E6" s="150"/>
      <c r="F6" s="150"/>
      <c r="G6" s="150"/>
      <c r="H6" s="150"/>
      <c r="I6" s="150"/>
      <c r="J6" s="186" t="s">
        <v>12</v>
      </c>
      <c r="K6" s="150"/>
      <c r="L6" s="150"/>
      <c r="M6" s="150"/>
      <c r="N6" s="150"/>
      <c r="O6" s="152"/>
    </row>
    <row r="7" spans="1:17" x14ac:dyDescent="0.25">
      <c r="A7" s="184" t="s">
        <v>10</v>
      </c>
      <c r="B7" s="149"/>
      <c r="C7" s="150"/>
      <c r="D7" s="150"/>
      <c r="E7" s="150"/>
      <c r="F7" s="150"/>
      <c r="G7" s="150"/>
      <c r="H7" s="150"/>
      <c r="I7" s="150"/>
      <c r="J7" s="150"/>
      <c r="K7" s="150"/>
      <c r="L7" s="150"/>
      <c r="M7" s="150"/>
      <c r="N7" s="150"/>
      <c r="O7" s="152"/>
    </row>
    <row r="8" spans="1:17" x14ac:dyDescent="0.25">
      <c r="A8" s="184" t="s">
        <v>13</v>
      </c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2"/>
    </row>
    <row r="9" spans="1:17" x14ac:dyDescent="0.25">
      <c r="A9" s="188"/>
      <c r="B9" s="189"/>
      <c r="C9" s="189"/>
      <c r="D9" s="189"/>
      <c r="E9" s="189"/>
      <c r="F9" s="150"/>
      <c r="G9" s="150"/>
      <c r="H9" s="150"/>
      <c r="I9" s="150"/>
      <c r="J9" s="150"/>
      <c r="K9" s="150"/>
      <c r="L9" s="150"/>
      <c r="M9" s="150"/>
      <c r="N9" s="150"/>
      <c r="O9" s="152"/>
    </row>
    <row r="10" spans="1:17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7" ht="30" x14ac:dyDescent="0.25">
      <c r="A11" s="383">
        <v>10</v>
      </c>
      <c r="B11" s="384" t="s">
        <v>200</v>
      </c>
      <c r="C11" s="383" t="s">
        <v>201</v>
      </c>
      <c r="D11" s="385">
        <v>4.2</v>
      </c>
      <c r="E11" s="386">
        <v>12</v>
      </c>
      <c r="F11" s="383" t="s">
        <v>30</v>
      </c>
      <c r="G11" s="383"/>
      <c r="H11" s="387"/>
      <c r="I11" s="388" t="s">
        <v>549</v>
      </c>
      <c r="J11" s="389">
        <f>3.14*0.006^2</f>
        <v>1.1304E-4</v>
      </c>
      <c r="K11" s="390">
        <v>0.06</v>
      </c>
      <c r="L11" s="395">
        <v>2710</v>
      </c>
      <c r="M11" s="391">
        <v>1</v>
      </c>
      <c r="N11" s="329">
        <f>IF(J11="",D11*M11,D11*J11*K11*L11*M11)</f>
        <v>7.7197276800000006E-2</v>
      </c>
      <c r="O11" s="396"/>
    </row>
    <row r="12" spans="1:17" x14ac:dyDescent="0.25">
      <c r="A12" s="171"/>
      <c r="B12" s="172"/>
      <c r="C12" s="172"/>
      <c r="D12" s="172"/>
      <c r="E12" s="172"/>
      <c r="F12" s="172"/>
      <c r="G12" s="172"/>
      <c r="H12" s="172"/>
      <c r="I12" s="172"/>
      <c r="J12" s="172"/>
      <c r="K12" s="172"/>
      <c r="L12" s="172"/>
      <c r="M12" s="197" t="s">
        <v>18</v>
      </c>
      <c r="N12" s="198">
        <f>SUM(N11:N11)</f>
        <v>7.7197276800000006E-2</v>
      </c>
      <c r="O12" s="152"/>
    </row>
    <row r="13" spans="1:17" x14ac:dyDescent="0.25">
      <c r="A13" s="156"/>
      <c r="B13" s="150"/>
      <c r="C13" s="150"/>
      <c r="D13" s="150"/>
      <c r="E13" s="150"/>
      <c r="F13" s="150"/>
      <c r="G13" s="150"/>
      <c r="H13" s="150"/>
      <c r="I13" s="150"/>
      <c r="J13" s="150"/>
      <c r="K13" s="150"/>
      <c r="L13" s="150"/>
      <c r="M13" s="150"/>
      <c r="N13" s="150"/>
      <c r="O13" s="152"/>
      <c r="Q13" s="199"/>
    </row>
    <row r="14" spans="1:17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25">
      <c r="A15" s="325">
        <v>10</v>
      </c>
      <c r="B15" s="322" t="s">
        <v>199</v>
      </c>
      <c r="C15" s="392"/>
      <c r="D15" s="393">
        <v>0.4</v>
      </c>
      <c r="E15" s="325" t="s">
        <v>40</v>
      </c>
      <c r="F15" s="325">
        <v>1</v>
      </c>
      <c r="G15" s="325"/>
      <c r="H15" s="325"/>
      <c r="I15" s="394">
        <f>IF(H15="",D15*F15,D15*F15*H15)</f>
        <v>0.4</v>
      </c>
      <c r="J15" s="370"/>
      <c r="K15" s="370"/>
      <c r="L15" s="370"/>
      <c r="M15" s="370"/>
      <c r="N15" s="370"/>
      <c r="O15" s="371"/>
    </row>
    <row r="16" spans="1:17" x14ac:dyDescent="0.25">
      <c r="A16" s="171"/>
      <c r="B16" s="172"/>
      <c r="C16" s="172"/>
      <c r="D16" s="172"/>
      <c r="E16" s="172"/>
      <c r="F16" s="172"/>
      <c r="G16" s="172"/>
      <c r="H16" s="204" t="s">
        <v>18</v>
      </c>
      <c r="I16" s="198">
        <f>SUM(I15:I15)</f>
        <v>0.4</v>
      </c>
      <c r="J16" s="172"/>
      <c r="K16" s="172"/>
      <c r="L16" s="172"/>
      <c r="M16" s="172"/>
      <c r="N16" s="172"/>
      <c r="O16" s="152"/>
    </row>
    <row r="17" spans="1:15" ht="15.75" thickBot="1" x14ac:dyDescent="0.3">
      <c r="A17" s="181"/>
      <c r="B17" s="182"/>
      <c r="C17" s="182"/>
      <c r="D17" s="182"/>
      <c r="E17" s="182"/>
      <c r="F17" s="182"/>
      <c r="G17" s="182"/>
      <c r="H17" s="182"/>
      <c r="I17" s="182"/>
      <c r="J17" s="182"/>
      <c r="K17" s="182"/>
      <c r="L17" s="182"/>
      <c r="M17" s="182"/>
      <c r="N17" s="182"/>
      <c r="O17" s="183"/>
    </row>
  </sheetData>
  <hyperlinks>
    <hyperlink ref="E3" location="dSU_04007" display="Drawing" xr:uid="{00000000-0004-0000-4B00-000000000000}"/>
    <hyperlink ref="G2" location="SU_A0400_BOM" display="Back to BOM" xr:uid="{00000000-0004-0000-4B00-000001000000}"/>
    <hyperlink ref="B4" location="SU_A0400" display="Lower Back A-arm" xr:uid="{00000000-0004-0000-4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0" style="147" customWidth="1"/>
    <col min="2" max="16384" width="11.42578125" style="147"/>
  </cols>
  <sheetData>
    <row r="1" spans="1:2" x14ac:dyDescent="0.25">
      <c r="A1" s="147" t="s">
        <v>99</v>
      </c>
      <c r="B1" s="270" t="s">
        <v>248</v>
      </c>
    </row>
  </sheetData>
  <hyperlinks>
    <hyperlink ref="B1" location="SU_04007" display="SU_04006" xr:uid="{00000000-0004-0000-4C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3.42578125" customWidth="1"/>
    <col min="3" max="3" width="16.140625" customWidth="1"/>
    <col min="7" max="7" width="17" customWidth="1"/>
    <col min="9" max="9" width="13.285156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49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1.3905750000000001</v>
      </c>
      <c r="O2" s="416"/>
    </row>
    <row r="3" spans="1:15" x14ac:dyDescent="0.25">
      <c r="A3" s="413" t="s">
        <v>3</v>
      </c>
      <c r="B3" s="149" t="str">
        <f>'SU A0400'!B3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142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215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1.3905750000000001</v>
      </c>
      <c r="O5" s="416"/>
    </row>
    <row r="6" spans="1:15" x14ac:dyDescent="0.25">
      <c r="A6" s="413" t="s">
        <v>7</v>
      </c>
      <c r="B6" s="419" t="s">
        <v>258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28.9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4.710000000000001E-2</v>
      </c>
      <c r="F11" s="425" t="s">
        <v>141</v>
      </c>
      <c r="G11" s="425"/>
      <c r="H11" s="426"/>
      <c r="I11" s="427" t="s">
        <v>259</v>
      </c>
      <c r="J11" s="428">
        <f>0.05*0.024</f>
        <v>1.2000000000000001E-3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0.10597500000000001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2.4000000000000002E-3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2.4E-2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0.12997500000000001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0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15.3</v>
      </c>
      <c r="G17" s="433"/>
      <c r="H17" s="436"/>
      <c r="I17" s="437">
        <f>IF(H17="",D17*F17,D17*F17*H17)</f>
        <v>0.153</v>
      </c>
      <c r="J17" s="294"/>
      <c r="K17" s="397"/>
      <c r="L17" s="397"/>
      <c r="M17" s="397"/>
      <c r="N17" s="397"/>
      <c r="O17" s="416"/>
    </row>
    <row r="18" spans="1:15" ht="31.15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2.4000000000000002E-3</v>
      </c>
      <c r="G20" s="433"/>
      <c r="H20" s="436"/>
      <c r="I20" s="444">
        <f>F20*D20</f>
        <v>1.2600000000000002E-2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1.2606000000000002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E3" location="dSU_04008" display="Drawing" xr:uid="{00000000-0004-0000-4D00-000000000000}"/>
    <hyperlink ref="F2" location="SU_A0400_BOM" display="Back to BOM" xr:uid="{00000000-0004-0000-4D00-000001000000}"/>
    <hyperlink ref="B4" location="SU_A0400" display="Lower Back A-arm" xr:uid="{00000000-0004-0000-4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28515625" customWidth="1"/>
  </cols>
  <sheetData>
    <row r="1" spans="1:2" x14ac:dyDescent="0.25">
      <c r="A1" s="147" t="s">
        <v>99</v>
      </c>
      <c r="B1" s="270" t="s">
        <v>249</v>
      </c>
    </row>
  </sheetData>
  <hyperlinks>
    <hyperlink ref="B1" location="SU_04008" display="SU_04008" xr:uid="{00000000-0004-0000-4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3.85546875" customWidth="1"/>
    <col min="3" max="3" width="17.140625" customWidth="1"/>
    <col min="5" max="5" width="10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7.1887787999999988</v>
      </c>
      <c r="O2" s="62"/>
    </row>
    <row r="3" spans="1:15" x14ac:dyDescent="0.25">
      <c r="A3" s="99" t="s">
        <v>3</v>
      </c>
      <c r="B3" s="16" t="str">
        <f>'SU A0100'!B3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86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7.1887787999999988</v>
      </c>
      <c r="O5" s="62"/>
    </row>
    <row r="6" spans="1:15" x14ac:dyDescent="0.25">
      <c r="A6" s="99" t="s">
        <v>7</v>
      </c>
      <c r="B6" s="28" t="s">
        <v>103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37" t="s">
        <v>117</v>
      </c>
      <c r="C11" s="138" t="s">
        <v>118</v>
      </c>
      <c r="D11" s="141">
        <v>200</v>
      </c>
      <c r="E11" s="21">
        <f>J11*K11*L11</f>
        <v>3.1950127999999994E-2</v>
      </c>
      <c r="F11" s="20" t="s">
        <v>94</v>
      </c>
      <c r="G11" s="20"/>
      <c r="H11" s="19"/>
      <c r="I11" s="21" t="s">
        <v>96</v>
      </c>
      <c r="J11" s="242">
        <f>3.14*(0.008*0.008-0.006*0.006)</f>
        <v>8.7919999999999985E-5</v>
      </c>
      <c r="K11" s="75">
        <v>0.23</v>
      </c>
      <c r="L11" s="79">
        <v>1580</v>
      </c>
      <c r="M11" s="139">
        <v>1</v>
      </c>
      <c r="N11" s="30">
        <f>D11*M11*E11</f>
        <v>6.3900255999999986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6.3900255999999986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25">
      <c r="A15" s="137">
        <v>10</v>
      </c>
      <c r="B15" s="137" t="s">
        <v>139</v>
      </c>
      <c r="C15" s="137" t="s">
        <v>140</v>
      </c>
      <c r="D15" s="213">
        <v>25</v>
      </c>
      <c r="E15" s="212" t="s">
        <v>141</v>
      </c>
      <c r="F15" s="253">
        <f>J11*K11*L11</f>
        <v>3.1950127999999994E-2</v>
      </c>
      <c r="G15" s="211"/>
      <c r="H15" s="211"/>
      <c r="I15" s="21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0.79875319999999983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 xr:uid="{00000000-0004-0000-0700-000000000000}"/>
    <hyperlink ref="G2" location="SU_A0100_BOM" display="Back to BOM" xr:uid="{00000000-0004-0000-0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tToHeight="99" orientation="landscape" r:id="rId1"/>
  <headerFooter>
    <oddFooter>Page &amp;P</oddFooter>
  </headerFooter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sheetPr>
    <tabColor rgb="FFFFFF66"/>
    <pageSetUpPr fitToPage="1"/>
  </sheetPr>
  <dimension ref="A1:O22"/>
  <sheetViews>
    <sheetView zoomScaleNormal="100" zoomScalePageLayoutView="70" workbookViewId="0">
      <selection activeCell="E3" sqref="E3"/>
    </sheetView>
  </sheetViews>
  <sheetFormatPr baseColWidth="10" defaultRowHeight="15" x14ac:dyDescent="0.25"/>
  <cols>
    <col min="2" max="2" width="17.7109375" customWidth="1"/>
    <col min="3" max="3" width="16.7109375" customWidth="1"/>
    <col min="7" max="7" width="17.7109375" customWidth="1"/>
    <col min="9" max="9" width="14.710937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49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1.3814265000000003</v>
      </c>
      <c r="O2" s="416"/>
    </row>
    <row r="3" spans="1:15" x14ac:dyDescent="0.25">
      <c r="A3" s="413" t="s">
        <v>3</v>
      </c>
      <c r="B3" s="149" t="str">
        <f>'SU A0400'!B3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142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216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1.3814265000000003</v>
      </c>
      <c r="O5" s="416"/>
    </row>
    <row r="6" spans="1:15" x14ac:dyDescent="0.25">
      <c r="A6" s="413" t="s">
        <v>7</v>
      </c>
      <c r="B6" s="419" t="s">
        <v>260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28.9" customHeight="1" x14ac:dyDescent="0.25">
      <c r="A11" s="420">
        <v>10</v>
      </c>
      <c r="B11" s="421" t="s">
        <v>204</v>
      </c>
      <c r="C11" s="422" t="s">
        <v>205</v>
      </c>
      <c r="D11" s="423">
        <v>2.25</v>
      </c>
      <c r="E11" s="424">
        <f>J11*K11*L11</f>
        <v>4.8042000000000008E-2</v>
      </c>
      <c r="F11" s="425" t="s">
        <v>141</v>
      </c>
      <c r="G11" s="425"/>
      <c r="H11" s="426"/>
      <c r="I11" s="427" t="s">
        <v>261</v>
      </c>
      <c r="J11" s="428">
        <f>0.051*0.024</f>
        <v>1.224E-3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0.1080945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2.4480000000000001E-3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2.4480000000000002E-2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0.13257449999999998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0" customHeight="1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14.1</v>
      </c>
      <c r="G17" s="433"/>
      <c r="H17" s="436"/>
      <c r="I17" s="437">
        <f>IF(H17="",D17*F17,D17*F17*H17)</f>
        <v>0.14099999999999999</v>
      </c>
      <c r="J17" s="294"/>
      <c r="K17" s="397"/>
      <c r="L17" s="397"/>
      <c r="M17" s="397"/>
      <c r="N17" s="397"/>
      <c r="O17" s="416"/>
    </row>
    <row r="18" spans="1:15" ht="31.15" customHeight="1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1</v>
      </c>
      <c r="G19" s="442" t="s">
        <v>197</v>
      </c>
      <c r="H19" s="442">
        <v>3</v>
      </c>
      <c r="I19" s="444">
        <f t="shared" si="0"/>
        <v>0.12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2.4480000000000001E-3</v>
      </c>
      <c r="G20" s="433"/>
      <c r="H20" s="436"/>
      <c r="I20" s="444">
        <f>F20*D20</f>
        <v>1.2852000000000001E-2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1.2488520000000003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E3" location="dSU_04009" display="Drawing" xr:uid="{00000000-0004-0000-4F00-000000000000}"/>
    <hyperlink ref="F2" location="SU_A0400_BOM" display="Back to BOM" xr:uid="{00000000-0004-0000-4F00-000001000000}"/>
    <hyperlink ref="B4" location="SU_A0400" display="Lower Back A-arm" xr:uid="{00000000-0004-0000-4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>
    <tabColor rgb="FFFFFF66"/>
    <pageSetUpPr fitToPage="1"/>
  </sheetPr>
  <dimension ref="A1:B1"/>
  <sheetViews>
    <sheetView zoomScaleNormal="100" zoomScalePageLayoutView="70" workbookViewId="0"/>
  </sheetViews>
  <sheetFormatPr baseColWidth="10" defaultRowHeight="15" x14ac:dyDescent="0.25"/>
  <sheetData>
    <row r="1" spans="1:2" x14ac:dyDescent="0.25">
      <c r="A1" t="s">
        <v>230</v>
      </c>
      <c r="B1" s="270" t="s">
        <v>264</v>
      </c>
    </row>
  </sheetData>
  <hyperlinks>
    <hyperlink ref="B1" location="SU_04009" display="SU_04009" xr:uid="{00000000-0004-0000-5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28515625" customWidth="1"/>
    <col min="3" max="3" width="18.85546875" customWidth="1"/>
    <col min="7" max="7" width="18.7109375" customWidth="1"/>
    <col min="9" max="9" width="13.2851562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49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1.8130709999999999</v>
      </c>
      <c r="O2" s="416"/>
    </row>
    <row r="3" spans="1:15" x14ac:dyDescent="0.25">
      <c r="A3" s="413" t="s">
        <v>3</v>
      </c>
      <c r="B3" s="149" t="str">
        <f>'SU A0400'!B3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142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217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1.8130709999999999</v>
      </c>
      <c r="O5" s="416"/>
    </row>
    <row r="6" spans="1:15" x14ac:dyDescent="0.25">
      <c r="A6" s="413" t="s">
        <v>7</v>
      </c>
      <c r="B6" s="419" t="s">
        <v>266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45" x14ac:dyDescent="0.25">
      <c r="A11" s="622">
        <v>10</v>
      </c>
      <c r="B11" s="421" t="s">
        <v>204</v>
      </c>
      <c r="C11" s="422" t="s">
        <v>205</v>
      </c>
      <c r="D11" s="423">
        <v>2.25</v>
      </c>
      <c r="E11" s="424">
        <f>J11*K11*L11</f>
        <v>0.107388</v>
      </c>
      <c r="F11" s="425" t="s">
        <v>141</v>
      </c>
      <c r="G11" s="425"/>
      <c r="H11" s="426"/>
      <c r="I11" s="427" t="s">
        <v>262</v>
      </c>
      <c r="J11" s="428">
        <f>0.038*0.072</f>
        <v>2.7359999999999997E-3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0.24162299999999995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5.4719999999999994E-3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5.4719999999999991E-2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0.29634299999999991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30" x14ac:dyDescent="0.25">
      <c r="A16" s="432">
        <v>10</v>
      </c>
      <c r="B16" s="43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27.3</v>
      </c>
      <c r="G17" s="433"/>
      <c r="H17" s="436"/>
      <c r="I17" s="437">
        <f>IF(H17="",D17*F17,D17*F17*H17)</f>
        <v>0.27300000000000002</v>
      </c>
      <c r="J17" s="294"/>
      <c r="K17" s="397"/>
      <c r="L17" s="397"/>
      <c r="M17" s="397"/>
      <c r="N17" s="397"/>
      <c r="O17" s="416"/>
    </row>
    <row r="18" spans="1:15" ht="30" x14ac:dyDescent="0.25">
      <c r="A18" s="432">
        <v>30</v>
      </c>
      <c r="B18" s="441" t="s">
        <v>39</v>
      </c>
      <c r="C18" s="442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2</v>
      </c>
      <c r="G19" s="442" t="s">
        <v>197</v>
      </c>
      <c r="H19" s="442">
        <v>3</v>
      </c>
      <c r="I19" s="444">
        <f t="shared" si="0"/>
        <v>0.24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291" t="s">
        <v>210</v>
      </c>
      <c r="D20" s="298">
        <v>5.25</v>
      </c>
      <c r="E20" s="433" t="s">
        <v>202</v>
      </c>
      <c r="F20" s="445">
        <f>2*J11</f>
        <v>5.4719999999999994E-3</v>
      </c>
      <c r="G20" s="433"/>
      <c r="H20" s="436"/>
      <c r="I20" s="444">
        <f>F20*D20</f>
        <v>2.8727999999999997E-2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1.5167280000000001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E3" location="dSU_04010" display="Drawing" xr:uid="{00000000-0004-0000-5100-000000000000}"/>
    <hyperlink ref="F2" location="SU_A0400_BOM" display="Back to BOM" xr:uid="{00000000-0004-0000-5100-000001000000}"/>
    <hyperlink ref="B4" location="SU_A0400" display="Lower Back A-arm" xr:uid="{00000000-0004-0000-5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267</v>
      </c>
    </row>
  </sheetData>
  <hyperlinks>
    <hyperlink ref="B1" location="SU_04010" display="SU_04010" xr:uid="{00000000-0004-0000-5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0.7109375" customWidth="1"/>
    <col min="3" max="3" width="19.7109375" customWidth="1"/>
    <col min="7" max="7" width="16.7109375" customWidth="1"/>
    <col min="9" max="9" width="13.7109375" customWidth="1"/>
  </cols>
  <sheetData>
    <row r="1" spans="1:15" x14ac:dyDescent="0.25">
      <c r="A1" s="410"/>
      <c r="B1" s="411"/>
      <c r="C1" s="411"/>
      <c r="D1" s="411"/>
      <c r="E1" s="411"/>
      <c r="F1" s="411"/>
      <c r="G1" s="411"/>
      <c r="H1" s="411"/>
      <c r="I1" s="411"/>
      <c r="J1" s="411"/>
      <c r="K1" s="411"/>
      <c r="L1" s="411"/>
      <c r="M1" s="411"/>
      <c r="N1" s="411"/>
      <c r="O1" s="412"/>
    </row>
    <row r="2" spans="1:15" x14ac:dyDescent="0.25">
      <c r="A2" s="413" t="s">
        <v>0</v>
      </c>
      <c r="B2" s="149" t="s">
        <v>37</v>
      </c>
      <c r="C2" s="397"/>
      <c r="D2" s="397"/>
      <c r="E2" s="397"/>
      <c r="F2" s="87" t="s">
        <v>62</v>
      </c>
      <c r="G2" s="397"/>
      <c r="H2" s="397"/>
      <c r="I2" s="397"/>
      <c r="J2" s="415" t="s">
        <v>1</v>
      </c>
      <c r="K2" s="398">
        <v>81</v>
      </c>
      <c r="L2" s="397"/>
      <c r="M2" s="399" t="s">
        <v>16</v>
      </c>
      <c r="N2" s="400">
        <f>N13+I21</f>
        <v>1.9015070000000001</v>
      </c>
      <c r="O2" s="416"/>
    </row>
    <row r="3" spans="1:15" x14ac:dyDescent="0.25">
      <c r="A3" s="413" t="s">
        <v>3</v>
      </c>
      <c r="B3" s="149" t="str">
        <f>'SU A0400'!B3</f>
        <v>Suspension &amp; Shocks</v>
      </c>
      <c r="C3" s="398"/>
      <c r="D3" s="333" t="s">
        <v>6</v>
      </c>
      <c r="E3" s="270" t="s">
        <v>60</v>
      </c>
      <c r="F3" s="397"/>
      <c r="G3" s="397"/>
      <c r="H3" s="397"/>
      <c r="I3" s="397"/>
      <c r="J3" s="397"/>
      <c r="K3" s="397"/>
      <c r="L3" s="397"/>
      <c r="M3" s="399" t="s">
        <v>4</v>
      </c>
      <c r="N3" s="401">
        <v>1</v>
      </c>
      <c r="O3" s="416"/>
    </row>
    <row r="4" spans="1:15" x14ac:dyDescent="0.25">
      <c r="A4" s="413" t="s">
        <v>5</v>
      </c>
      <c r="B4" s="87" t="s">
        <v>142</v>
      </c>
      <c r="C4" s="397"/>
      <c r="D4" s="333" t="s">
        <v>8</v>
      </c>
      <c r="E4" s="335"/>
      <c r="F4" s="397"/>
      <c r="G4" s="397"/>
      <c r="H4" s="397"/>
      <c r="I4" s="397"/>
      <c r="J4" s="415" t="s">
        <v>6</v>
      </c>
      <c r="K4" s="397"/>
      <c r="L4" s="397"/>
      <c r="M4" s="397"/>
      <c r="N4" s="397"/>
      <c r="O4" s="416"/>
    </row>
    <row r="5" spans="1:15" x14ac:dyDescent="0.25">
      <c r="A5" s="413" t="s">
        <v>15</v>
      </c>
      <c r="B5" s="418" t="s">
        <v>218</v>
      </c>
      <c r="C5" s="397"/>
      <c r="D5" s="333" t="s">
        <v>12</v>
      </c>
      <c r="E5" s="335"/>
      <c r="F5" s="397"/>
      <c r="G5" s="397"/>
      <c r="H5" s="397"/>
      <c r="I5" s="397"/>
      <c r="J5" s="415" t="s">
        <v>8</v>
      </c>
      <c r="K5" s="397"/>
      <c r="L5" s="397"/>
      <c r="M5" s="399" t="s">
        <v>9</v>
      </c>
      <c r="N5" s="400">
        <f>N3*N2</f>
        <v>1.9015070000000001</v>
      </c>
      <c r="O5" s="416"/>
    </row>
    <row r="6" spans="1:15" x14ac:dyDescent="0.25">
      <c r="A6" s="413" t="s">
        <v>7</v>
      </c>
      <c r="B6" s="419" t="s">
        <v>265</v>
      </c>
      <c r="C6" s="397"/>
      <c r="D6" s="397"/>
      <c r="E6" s="397"/>
      <c r="F6" s="397"/>
      <c r="G6" s="397"/>
      <c r="H6" s="397"/>
      <c r="I6" s="397"/>
      <c r="J6" s="415" t="s">
        <v>12</v>
      </c>
      <c r="K6" s="397"/>
      <c r="L6" s="397"/>
      <c r="M6" s="397"/>
      <c r="N6" s="397"/>
      <c r="O6" s="416"/>
    </row>
    <row r="7" spans="1:15" x14ac:dyDescent="0.25">
      <c r="A7" s="413" t="s">
        <v>10</v>
      </c>
      <c r="B7" s="414" t="s">
        <v>11</v>
      </c>
      <c r="C7" s="397"/>
      <c r="D7" s="397"/>
      <c r="E7" s="397"/>
      <c r="F7" s="397"/>
      <c r="G7" s="397"/>
      <c r="H7" s="397"/>
      <c r="I7" s="397"/>
      <c r="J7" s="397"/>
      <c r="K7" s="397"/>
      <c r="L7" s="397"/>
      <c r="M7" s="397"/>
      <c r="N7" s="397"/>
      <c r="O7" s="416"/>
    </row>
    <row r="8" spans="1:15" x14ac:dyDescent="0.25">
      <c r="A8" s="413" t="s">
        <v>13</v>
      </c>
      <c r="B8" s="397" t="s">
        <v>203</v>
      </c>
      <c r="C8" s="397"/>
      <c r="D8" s="397"/>
      <c r="E8" s="397"/>
      <c r="F8" s="397"/>
      <c r="G8" s="397"/>
      <c r="H8" s="397"/>
      <c r="I8" s="397"/>
      <c r="J8" s="397"/>
      <c r="K8" s="397"/>
      <c r="L8" s="397"/>
      <c r="M8" s="397"/>
      <c r="N8" s="397"/>
      <c r="O8" s="416"/>
    </row>
    <row r="9" spans="1:15" x14ac:dyDescent="0.25">
      <c r="A9" s="402"/>
      <c r="B9" s="397"/>
      <c r="C9" s="397"/>
      <c r="D9" s="397"/>
      <c r="E9" s="397"/>
      <c r="F9" s="397"/>
      <c r="G9" s="397"/>
      <c r="H9" s="397"/>
      <c r="I9" s="397"/>
      <c r="J9" s="397"/>
      <c r="K9" s="397"/>
      <c r="L9" s="397"/>
      <c r="M9" s="397"/>
      <c r="N9" s="397"/>
      <c r="O9" s="416"/>
    </row>
    <row r="10" spans="1:15" x14ac:dyDescent="0.25">
      <c r="A10" s="403" t="s">
        <v>14</v>
      </c>
      <c r="B10" s="404" t="s">
        <v>19</v>
      </c>
      <c r="C10" s="404" t="s">
        <v>20</v>
      </c>
      <c r="D10" s="404" t="s">
        <v>21</v>
      </c>
      <c r="E10" s="404" t="s">
        <v>22</v>
      </c>
      <c r="F10" s="404" t="s">
        <v>23</v>
      </c>
      <c r="G10" s="404" t="s">
        <v>24</v>
      </c>
      <c r="H10" s="404" t="s">
        <v>25</v>
      </c>
      <c r="I10" s="404" t="s">
        <v>26</v>
      </c>
      <c r="J10" s="404" t="s">
        <v>27</v>
      </c>
      <c r="K10" s="404" t="s">
        <v>28</v>
      </c>
      <c r="L10" s="404" t="s">
        <v>29</v>
      </c>
      <c r="M10" s="404" t="s">
        <v>17</v>
      </c>
      <c r="N10" s="404" t="s">
        <v>18</v>
      </c>
      <c r="O10" s="416"/>
    </row>
    <row r="11" spans="1:15" ht="30" x14ac:dyDescent="0.25">
      <c r="A11" s="622">
        <v>10</v>
      </c>
      <c r="B11" s="624" t="s">
        <v>204</v>
      </c>
      <c r="C11" s="422" t="s">
        <v>205</v>
      </c>
      <c r="D11" s="423">
        <v>2.25</v>
      </c>
      <c r="E11" s="424">
        <f>J11*K11*L11</f>
        <v>0.129996</v>
      </c>
      <c r="F11" s="425" t="s">
        <v>141</v>
      </c>
      <c r="G11" s="425"/>
      <c r="H11" s="426"/>
      <c r="I11" s="427" t="s">
        <v>263</v>
      </c>
      <c r="J11" s="428">
        <f>0.046*0.072</f>
        <v>3.3119999999999998E-3</v>
      </c>
      <c r="K11" s="428">
        <v>5.0000000000000001E-3</v>
      </c>
      <c r="L11" s="429">
        <v>7850</v>
      </c>
      <c r="M11" s="429">
        <v>1</v>
      </c>
      <c r="N11" s="430">
        <f>IF(J11="",D11*M11,D11*J11*K11*L11*M11)</f>
        <v>0.292491</v>
      </c>
      <c r="O11" s="416"/>
    </row>
    <row r="12" spans="1:15" x14ac:dyDescent="0.25">
      <c r="A12" s="420">
        <v>20</v>
      </c>
      <c r="B12" s="421" t="s">
        <v>207</v>
      </c>
      <c r="C12" s="422"/>
      <c r="D12" s="405">
        <v>10</v>
      </c>
      <c r="E12" s="406">
        <f>2*J11</f>
        <v>6.6239999999999997E-3</v>
      </c>
      <c r="F12" s="431" t="s">
        <v>202</v>
      </c>
      <c r="G12" s="425"/>
      <c r="H12" s="426"/>
      <c r="I12" s="427"/>
      <c r="J12" s="428"/>
      <c r="K12" s="426"/>
      <c r="L12" s="429"/>
      <c r="M12" s="429"/>
      <c r="N12" s="430">
        <f>E12*D12</f>
        <v>6.6239999999999993E-2</v>
      </c>
      <c r="O12" s="416"/>
    </row>
    <row r="13" spans="1:15" x14ac:dyDescent="0.25">
      <c r="A13" s="407"/>
      <c r="B13" s="408"/>
      <c r="C13" s="408"/>
      <c r="D13" s="408"/>
      <c r="E13" s="408"/>
      <c r="F13" s="408"/>
      <c r="G13" s="408"/>
      <c r="H13" s="408"/>
      <c r="I13" s="408"/>
      <c r="J13" s="408"/>
      <c r="K13" s="408"/>
      <c r="L13" s="408"/>
      <c r="M13" s="409" t="s">
        <v>18</v>
      </c>
      <c r="N13" s="283">
        <f>SUM(N11:N12)</f>
        <v>0.35873100000000002</v>
      </c>
      <c r="O13" s="416"/>
    </row>
    <row r="14" spans="1:15" x14ac:dyDescent="0.25">
      <c r="A14" s="402"/>
      <c r="B14" s="397"/>
      <c r="C14" s="397"/>
      <c r="D14" s="397"/>
      <c r="E14" s="397"/>
      <c r="F14" s="397"/>
      <c r="G14" s="397"/>
      <c r="H14" s="397"/>
      <c r="I14" s="397"/>
      <c r="J14" s="397"/>
      <c r="K14" s="397"/>
      <c r="L14" s="397"/>
      <c r="M14" s="397"/>
      <c r="N14" s="397"/>
      <c r="O14" s="416"/>
    </row>
    <row r="15" spans="1:15" x14ac:dyDescent="0.25">
      <c r="A15" s="403" t="s">
        <v>14</v>
      </c>
      <c r="B15" s="404" t="s">
        <v>31</v>
      </c>
      <c r="C15" s="404" t="s">
        <v>20</v>
      </c>
      <c r="D15" s="404" t="s">
        <v>21</v>
      </c>
      <c r="E15" s="404" t="s">
        <v>32</v>
      </c>
      <c r="F15" s="404" t="s">
        <v>17</v>
      </c>
      <c r="G15" s="404" t="s">
        <v>33</v>
      </c>
      <c r="H15" s="404" t="s">
        <v>34</v>
      </c>
      <c r="I15" s="404" t="s">
        <v>18</v>
      </c>
      <c r="J15" s="408"/>
      <c r="K15" s="408"/>
      <c r="L15" s="408"/>
      <c r="M15" s="408"/>
      <c r="N15" s="408"/>
      <c r="O15" s="416"/>
    </row>
    <row r="16" spans="1:15" ht="45" x14ac:dyDescent="0.25">
      <c r="A16" s="432">
        <v>10</v>
      </c>
      <c r="B16" s="623" t="s">
        <v>39</v>
      </c>
      <c r="C16" s="434" t="s">
        <v>208</v>
      </c>
      <c r="D16" s="435">
        <v>1.3</v>
      </c>
      <c r="E16" s="433" t="s">
        <v>32</v>
      </c>
      <c r="F16" s="294">
        <v>1</v>
      </c>
      <c r="G16" s="434" t="s">
        <v>220</v>
      </c>
      <c r="H16" s="436">
        <v>0.5</v>
      </c>
      <c r="I16" s="437">
        <f>H16*D16</f>
        <v>0.65</v>
      </c>
      <c r="J16" s="294"/>
      <c r="K16" s="397"/>
      <c r="L16" s="397"/>
      <c r="M16" s="397"/>
      <c r="N16" s="397"/>
      <c r="O16" s="416"/>
    </row>
    <row r="17" spans="1:15" x14ac:dyDescent="0.25">
      <c r="A17" s="438">
        <v>20</v>
      </c>
      <c r="B17" s="439" t="s">
        <v>209</v>
      </c>
      <c r="C17" s="291"/>
      <c r="D17" s="435">
        <v>0.01</v>
      </c>
      <c r="E17" s="439" t="s">
        <v>40</v>
      </c>
      <c r="F17" s="440">
        <v>29.3</v>
      </c>
      <c r="G17" s="433"/>
      <c r="H17" s="436"/>
      <c r="I17" s="437">
        <f>IF(H17="",D17*F17,D17*F17*H17)</f>
        <v>0.29300000000000004</v>
      </c>
      <c r="J17" s="294"/>
      <c r="K17" s="397"/>
      <c r="L17" s="397"/>
      <c r="M17" s="397"/>
      <c r="N17" s="397"/>
      <c r="O17" s="416"/>
    </row>
    <row r="18" spans="1:15" ht="45" x14ac:dyDescent="0.25">
      <c r="A18" s="432">
        <v>30</v>
      </c>
      <c r="B18" s="441" t="s">
        <v>39</v>
      </c>
      <c r="C18" s="625"/>
      <c r="D18" s="443">
        <v>0.65</v>
      </c>
      <c r="E18" s="442" t="s">
        <v>32</v>
      </c>
      <c r="F18" s="442">
        <v>1</v>
      </c>
      <c r="G18" s="434" t="s">
        <v>220</v>
      </c>
      <c r="H18" s="442">
        <v>0.5</v>
      </c>
      <c r="I18" s="444">
        <f t="shared" ref="I18:I19" si="0">IF(H18="",D18*F18,D18*F18*H18)</f>
        <v>0.32500000000000001</v>
      </c>
      <c r="J18" s="294"/>
      <c r="K18" s="397"/>
      <c r="L18" s="397"/>
      <c r="M18" s="397"/>
      <c r="N18" s="397"/>
      <c r="O18" s="416"/>
    </row>
    <row r="19" spans="1:15" x14ac:dyDescent="0.25">
      <c r="A19" s="438">
        <v>40</v>
      </c>
      <c r="B19" s="442" t="s">
        <v>92</v>
      </c>
      <c r="C19" s="442" t="s">
        <v>219</v>
      </c>
      <c r="D19" s="443">
        <v>0.04</v>
      </c>
      <c r="E19" s="442" t="s">
        <v>93</v>
      </c>
      <c r="F19" s="442">
        <v>2</v>
      </c>
      <c r="G19" s="442" t="s">
        <v>197</v>
      </c>
      <c r="H19" s="442">
        <v>3</v>
      </c>
      <c r="I19" s="444">
        <f t="shared" si="0"/>
        <v>0.24</v>
      </c>
      <c r="J19" s="297"/>
      <c r="K19" s="408"/>
      <c r="L19" s="408"/>
      <c r="M19" s="408"/>
      <c r="N19" s="408"/>
      <c r="O19" s="416"/>
    </row>
    <row r="20" spans="1:15" x14ac:dyDescent="0.25">
      <c r="A20" s="432">
        <v>50</v>
      </c>
      <c r="B20" s="433" t="s">
        <v>162</v>
      </c>
      <c r="C20" s="553" t="s">
        <v>210</v>
      </c>
      <c r="D20" s="298">
        <v>5.25</v>
      </c>
      <c r="E20" s="433" t="s">
        <v>202</v>
      </c>
      <c r="F20" s="445">
        <f>2*J11</f>
        <v>6.6239999999999997E-3</v>
      </c>
      <c r="G20" s="433"/>
      <c r="H20" s="436"/>
      <c r="I20" s="444">
        <f>F20*D20</f>
        <v>3.4776000000000001E-2</v>
      </c>
      <c r="J20" s="446"/>
      <c r="K20" s="447"/>
      <c r="L20" s="447"/>
      <c r="M20" s="447"/>
      <c r="N20" s="447"/>
      <c r="O20" s="416"/>
    </row>
    <row r="21" spans="1:15" x14ac:dyDescent="0.25">
      <c r="A21" s="407"/>
      <c r="B21" s="408"/>
      <c r="C21" s="408"/>
      <c r="D21" s="408"/>
      <c r="E21" s="408"/>
      <c r="F21" s="408"/>
      <c r="G21" s="408"/>
      <c r="H21" s="409" t="s">
        <v>18</v>
      </c>
      <c r="I21" s="285">
        <f>SUM(I16:I20)</f>
        <v>1.5427759999999999</v>
      </c>
      <c r="J21" s="447"/>
      <c r="K21" s="447"/>
      <c r="L21" s="447"/>
      <c r="M21" s="447"/>
      <c r="N21" s="447"/>
      <c r="O21" s="416"/>
    </row>
    <row r="22" spans="1:15" ht="15.75" thickBot="1" x14ac:dyDescent="0.3">
      <c r="A22" s="448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50"/>
    </row>
  </sheetData>
  <hyperlinks>
    <hyperlink ref="E3" location="dSU_03008" display="Drawing" xr:uid="{00000000-0004-0000-5300-000000000000}"/>
    <hyperlink ref="F2" location="SU_A0400_BOM" display="Back to BOM" xr:uid="{00000000-0004-0000-5300-000001000000}"/>
    <hyperlink ref="B4" location="SU_A0400" display="Lower Back A-arm" xr:uid="{00000000-0004-0000-5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0" t="s">
        <v>268</v>
      </c>
    </row>
  </sheetData>
  <hyperlinks>
    <hyperlink ref="B1" location="SU_04011" display="SU_04011" xr:uid="{00000000-0004-0000-5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sheetPr>
    <tabColor rgb="FFFFFF00"/>
    <pageSetUpPr fitToPage="1"/>
  </sheetPr>
  <dimension ref="A1:O55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8" customWidth="1"/>
    <col min="3" max="3" width="52.4257812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SU_A0500_pa+SU_A0500_m+SU_A0500_p+SU_A0500_f+SU_A0500_t</f>
        <v>338.62063016572864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269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270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677.24126033145728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626" t="s">
        <v>271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27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560">
        <v>10</v>
      </c>
      <c r="B10" s="452" t="s">
        <v>272</v>
      </c>
      <c r="C10" s="563">
        <f>'SU 05001'!N2</f>
        <v>5.9234014172552163</v>
      </c>
      <c r="D10" s="628">
        <f>SU_05001_q</f>
        <v>1</v>
      </c>
      <c r="E10" s="563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3"/>
      <c r="B11" s="56"/>
      <c r="C11" s="56"/>
      <c r="D11" s="254" t="s">
        <v>18</v>
      </c>
      <c r="E11" s="23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25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25">
      <c r="A13" s="627" t="s">
        <v>14</v>
      </c>
      <c r="B13" s="627" t="s">
        <v>19</v>
      </c>
      <c r="C13" s="627" t="s">
        <v>20</v>
      </c>
      <c r="D13" s="627" t="s">
        <v>21</v>
      </c>
      <c r="E13" s="627" t="s">
        <v>22</v>
      </c>
      <c r="F13" s="627" t="s">
        <v>23</v>
      </c>
      <c r="G13" s="627" t="s">
        <v>24</v>
      </c>
      <c r="H13" s="627" t="s">
        <v>25</v>
      </c>
      <c r="I13" s="627" t="s">
        <v>26</v>
      </c>
      <c r="J13" s="627" t="s">
        <v>27</v>
      </c>
      <c r="K13" s="627" t="s">
        <v>28</v>
      </c>
      <c r="L13" s="627" t="s">
        <v>29</v>
      </c>
      <c r="M13" s="627" t="s">
        <v>17</v>
      </c>
      <c r="N13" s="627" t="s">
        <v>18</v>
      </c>
      <c r="O13" s="62"/>
    </row>
    <row r="14" spans="1:15" x14ac:dyDescent="0.25">
      <c r="A14" s="560">
        <v>10</v>
      </c>
      <c r="B14" s="560" t="s">
        <v>273</v>
      </c>
      <c r="C14" s="560"/>
      <c r="D14" s="563">
        <v>305</v>
      </c>
      <c r="E14" s="560"/>
      <c r="F14" s="560" t="s">
        <v>35</v>
      </c>
      <c r="G14" s="560"/>
      <c r="H14" s="564"/>
      <c r="I14" s="629"/>
      <c r="J14" s="630"/>
      <c r="K14" s="564"/>
      <c r="L14" s="564"/>
      <c r="M14" s="566">
        <v>1</v>
      </c>
      <c r="N14" s="563">
        <f>D14*M14</f>
        <v>305</v>
      </c>
      <c r="O14" s="62"/>
    </row>
    <row r="15" spans="1:15" s="22" customFormat="1" x14ac:dyDescent="0.25">
      <c r="A15" s="560">
        <v>20</v>
      </c>
      <c r="B15" s="560" t="s">
        <v>274</v>
      </c>
      <c r="C15" s="631"/>
      <c r="D15" s="563">
        <v>25</v>
      </c>
      <c r="E15" s="632"/>
      <c r="F15" s="632" t="s">
        <v>35</v>
      </c>
      <c r="G15" s="632"/>
      <c r="H15" s="564"/>
      <c r="I15" s="633"/>
      <c r="J15" s="634"/>
      <c r="K15" s="635"/>
      <c r="L15" s="567"/>
      <c r="M15" s="566">
        <v>1</v>
      </c>
      <c r="N15" s="563">
        <f>D15*M15</f>
        <v>25</v>
      </c>
      <c r="O15" s="66"/>
    </row>
    <row r="16" spans="1:15" x14ac:dyDescent="0.25">
      <c r="A16" s="636">
        <v>30</v>
      </c>
      <c r="B16" s="637" t="s">
        <v>275</v>
      </c>
      <c r="C16" s="636"/>
      <c r="D16" s="563">
        <v>0</v>
      </c>
      <c r="E16" s="636"/>
      <c r="F16" s="636" t="s">
        <v>35</v>
      </c>
      <c r="G16" s="636"/>
      <c r="H16" s="636"/>
      <c r="I16" s="636"/>
      <c r="J16" s="636"/>
      <c r="K16" s="636"/>
      <c r="L16" s="636"/>
      <c r="M16" s="636">
        <v>2</v>
      </c>
      <c r="N16" s="563">
        <f>D16*M16</f>
        <v>0</v>
      </c>
    </row>
    <row r="17" spans="1:15" x14ac:dyDescent="0.25">
      <c r="A17" s="636">
        <v>40</v>
      </c>
      <c r="B17" s="637" t="s">
        <v>276</v>
      </c>
      <c r="C17" s="636" t="s">
        <v>277</v>
      </c>
      <c r="D17" s="563">
        <v>10</v>
      </c>
      <c r="E17" s="636">
        <v>4.0000000000000001E-3</v>
      </c>
      <c r="F17" s="636" t="s">
        <v>202</v>
      </c>
      <c r="G17" s="636"/>
      <c r="H17" s="636"/>
      <c r="I17" s="636"/>
      <c r="J17" s="636"/>
      <c r="K17" s="636"/>
      <c r="L17" s="636"/>
      <c r="M17" s="636">
        <v>1</v>
      </c>
      <c r="N17" s="563">
        <f>D17*E17*M17</f>
        <v>0.04</v>
      </c>
    </row>
    <row r="18" spans="1:15" x14ac:dyDescent="0.25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38" t="s">
        <v>18</v>
      </c>
      <c r="N18" s="234">
        <f>SUM(N14:N17)</f>
        <v>330.04</v>
      </c>
      <c r="O18" s="62"/>
    </row>
    <row r="19" spans="1:15" x14ac:dyDescent="0.25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25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s="25" customFormat="1" x14ac:dyDescent="0.25">
      <c r="A21" s="639">
        <v>10</v>
      </c>
      <c r="B21" s="640" t="s">
        <v>278</v>
      </c>
      <c r="C21" s="639" t="s">
        <v>279</v>
      </c>
      <c r="D21" s="639">
        <v>0.38</v>
      </c>
      <c r="E21" s="639" t="s">
        <v>40</v>
      </c>
      <c r="F21" s="639">
        <f>2*1.7</f>
        <v>3.4</v>
      </c>
      <c r="G21" s="639"/>
      <c r="H21" s="639"/>
      <c r="I21" s="641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25">
      <c r="A22" s="642">
        <v>20</v>
      </c>
      <c r="B22" s="643" t="s">
        <v>280</v>
      </c>
      <c r="C22" s="643" t="s">
        <v>281</v>
      </c>
      <c r="D22" s="268">
        <v>5.25</v>
      </c>
      <c r="E22" s="642" t="s">
        <v>202</v>
      </c>
      <c r="F22" s="642">
        <v>4.0000000000000001E-3</v>
      </c>
      <c r="G22" s="639"/>
      <c r="H22" s="639"/>
      <c r="I22" s="641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25">
      <c r="A23" s="644">
        <v>30</v>
      </c>
      <c r="B23" s="640" t="s">
        <v>282</v>
      </c>
      <c r="C23" s="644" t="s">
        <v>283</v>
      </c>
      <c r="D23" s="641">
        <v>0.06</v>
      </c>
      <c r="E23" s="644" t="s">
        <v>35</v>
      </c>
      <c r="F23" s="644">
        <v>1</v>
      </c>
      <c r="G23" s="644"/>
      <c r="H23" s="644"/>
      <c r="I23" s="641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25">
      <c r="A24" s="645">
        <v>40</v>
      </c>
      <c r="B24" s="646" t="s">
        <v>284</v>
      </c>
      <c r="C24" s="645" t="s">
        <v>285</v>
      </c>
      <c r="D24" s="647">
        <v>2</v>
      </c>
      <c r="E24" s="648" t="s">
        <v>35</v>
      </c>
      <c r="F24" s="644">
        <v>1</v>
      </c>
      <c r="G24" s="645"/>
      <c r="H24" s="645"/>
      <c r="I24" s="647">
        <f t="shared" si="0"/>
        <v>2</v>
      </c>
      <c r="J24" s="56"/>
      <c r="K24" s="56"/>
      <c r="L24" s="56"/>
      <c r="M24" s="56"/>
      <c r="N24" s="56"/>
      <c r="O24" s="62"/>
    </row>
    <row r="25" spans="1:15" x14ac:dyDescent="0.25">
      <c r="A25" s="649">
        <v>50</v>
      </c>
      <c r="B25" s="650" t="s">
        <v>286</v>
      </c>
      <c r="C25" s="650" t="s">
        <v>287</v>
      </c>
      <c r="D25" s="651">
        <v>0.06</v>
      </c>
      <c r="E25" s="649" t="s">
        <v>35</v>
      </c>
      <c r="F25" s="644">
        <v>1</v>
      </c>
      <c r="G25" s="649"/>
      <c r="H25" s="649"/>
      <c r="I25" s="651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25">
      <c r="A26" s="649">
        <v>60</v>
      </c>
      <c r="B26" s="650" t="s">
        <v>286</v>
      </c>
      <c r="C26" s="650" t="s">
        <v>288</v>
      </c>
      <c r="D26" s="651">
        <v>0.06</v>
      </c>
      <c r="E26" s="649" t="s">
        <v>35</v>
      </c>
      <c r="F26" s="644">
        <v>1</v>
      </c>
      <c r="G26" s="649"/>
      <c r="H26" s="649"/>
      <c r="I26" s="651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25">
      <c r="A27" s="649">
        <v>70</v>
      </c>
      <c r="B27" s="271" t="s">
        <v>289</v>
      </c>
      <c r="C27" s="650" t="s">
        <v>290</v>
      </c>
      <c r="D27" s="651">
        <v>0.12</v>
      </c>
      <c r="E27" s="649" t="s">
        <v>35</v>
      </c>
      <c r="F27" s="644">
        <v>1</v>
      </c>
      <c r="G27" s="649"/>
      <c r="H27" s="649"/>
      <c r="I27" s="651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25">
      <c r="A28" s="649">
        <v>80</v>
      </c>
      <c r="B28" s="271" t="s">
        <v>289</v>
      </c>
      <c r="C28" s="650" t="s">
        <v>291</v>
      </c>
      <c r="D28" s="651">
        <v>0.12</v>
      </c>
      <c r="E28" s="649" t="s">
        <v>35</v>
      </c>
      <c r="F28" s="644">
        <v>1</v>
      </c>
      <c r="G28" s="649"/>
      <c r="H28" s="649"/>
      <c r="I28" s="651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25">
      <c r="A29" s="649">
        <v>90</v>
      </c>
      <c r="B29" s="271" t="s">
        <v>292</v>
      </c>
      <c r="C29" s="650" t="s">
        <v>293</v>
      </c>
      <c r="D29" s="651">
        <v>0.75</v>
      </c>
      <c r="E29" s="652" t="s">
        <v>35</v>
      </c>
      <c r="F29" s="644">
        <v>1</v>
      </c>
      <c r="G29" s="649"/>
      <c r="H29" s="649"/>
      <c r="I29" s="651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25">
      <c r="A30" s="649">
        <v>100</v>
      </c>
      <c r="B30" s="271" t="s">
        <v>294</v>
      </c>
      <c r="C30" s="650" t="s">
        <v>293</v>
      </c>
      <c r="D30" s="651">
        <v>0.25</v>
      </c>
      <c r="E30" s="652" t="s">
        <v>35</v>
      </c>
      <c r="F30" s="644">
        <v>1</v>
      </c>
      <c r="G30" s="649"/>
      <c r="H30" s="649"/>
      <c r="I30" s="651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25">
      <c r="A31" s="67"/>
      <c r="B31" s="24"/>
      <c r="C31" s="24"/>
      <c r="D31" s="24"/>
      <c r="E31" s="24"/>
      <c r="F31" s="24"/>
      <c r="G31" s="24"/>
      <c r="H31" s="254" t="s">
        <v>18</v>
      </c>
      <c r="I31" s="234">
        <f>SUM(I23:I25)</f>
        <v>2.12</v>
      </c>
      <c r="J31" s="56"/>
      <c r="K31" s="56"/>
      <c r="L31" s="56"/>
      <c r="M31" s="56"/>
      <c r="N31" s="56"/>
      <c r="O31" s="62"/>
    </row>
    <row r="32" spans="1:15" x14ac:dyDescent="0.25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25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25">
      <c r="A34" s="72">
        <v>10</v>
      </c>
      <c r="B34" s="72" t="s">
        <v>295</v>
      </c>
      <c r="C34" s="72" t="s">
        <v>296</v>
      </c>
      <c r="D34" s="653">
        <f>0.8/105154*E34^2*G34*SQRT(G34)+0.003*EXP(0.319*E34)</f>
        <v>0.13931812332052654</v>
      </c>
      <c r="E34" s="654">
        <v>8</v>
      </c>
      <c r="F34" s="654" t="s">
        <v>30</v>
      </c>
      <c r="G34" s="654">
        <v>35</v>
      </c>
      <c r="H34" s="654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25">
      <c r="A35" s="72">
        <v>20</v>
      </c>
      <c r="B35" s="72" t="s">
        <v>297</v>
      </c>
      <c r="C35" s="72" t="s">
        <v>296</v>
      </c>
      <c r="D35" s="653">
        <v>0.01</v>
      </c>
      <c r="E35" s="72">
        <v>8</v>
      </c>
      <c r="F35" s="655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25">
      <c r="A36" s="72">
        <v>30</v>
      </c>
      <c r="B36" s="72" t="s">
        <v>298</v>
      </c>
      <c r="C36" s="72" t="s">
        <v>296</v>
      </c>
      <c r="D36" s="653">
        <f>0.009*EXP(0.2*E36)</f>
        <v>4.4577291819556032E-2</v>
      </c>
      <c r="E36" s="72">
        <v>8</v>
      </c>
      <c r="F36" s="655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25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0.20389541514008255</v>
      </c>
      <c r="K37" s="56"/>
      <c r="L37" s="56"/>
      <c r="M37" s="56"/>
      <c r="N37" s="56"/>
      <c r="O37" s="62"/>
    </row>
    <row r="38" spans="1:15" x14ac:dyDescent="0.25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25">
      <c r="A39" s="95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25">
      <c r="A40" s="72">
        <v>10</v>
      </c>
      <c r="B40" s="72" t="s">
        <v>182</v>
      </c>
      <c r="C40" s="656" t="s">
        <v>425</v>
      </c>
      <c r="D40" s="74">
        <v>500</v>
      </c>
      <c r="E40" s="72" t="s">
        <v>184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54" t="s">
        <v>18</v>
      </c>
      <c r="I41" s="23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.75" thickBot="1" x14ac:dyDescent="0.3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25">
      <c r="B46" s="56"/>
      <c r="C46" s="657"/>
      <c r="D46" s="657"/>
      <c r="E46" s="56"/>
    </row>
    <row r="47" spans="1:15" x14ac:dyDescent="0.25">
      <c r="B47" s="56"/>
      <c r="C47" s="657"/>
      <c r="D47" s="657"/>
      <c r="E47" s="56"/>
    </row>
    <row r="48" spans="1:15" x14ac:dyDescent="0.25">
      <c r="B48" s="56"/>
      <c r="C48" s="658"/>
      <c r="D48" s="657"/>
      <c r="E48" s="56"/>
    </row>
    <row r="49" spans="2:5" x14ac:dyDescent="0.25">
      <c r="B49" s="56"/>
      <c r="C49" s="658"/>
      <c r="D49" s="657"/>
      <c r="E49" s="56"/>
    </row>
    <row r="50" spans="2:5" x14ac:dyDescent="0.25">
      <c r="B50" s="56"/>
      <c r="C50" s="658"/>
      <c r="D50" s="657"/>
      <c r="E50" s="56"/>
    </row>
    <row r="51" spans="2:5" x14ac:dyDescent="0.25">
      <c r="B51" s="56"/>
      <c r="C51" s="658"/>
      <c r="D51" s="657"/>
      <c r="E51" s="56"/>
    </row>
    <row r="52" spans="2:5" x14ac:dyDescent="0.25">
      <c r="B52" s="56"/>
      <c r="C52" s="658"/>
      <c r="D52" s="657"/>
      <c r="E52" s="56"/>
    </row>
    <row r="53" spans="2:5" x14ac:dyDescent="0.25">
      <c r="B53" s="56"/>
      <c r="C53" s="56"/>
      <c r="D53" s="56"/>
      <c r="E53" s="56"/>
    </row>
    <row r="54" spans="2:5" x14ac:dyDescent="0.25">
      <c r="B54" s="56"/>
      <c r="C54" s="56"/>
      <c r="D54" s="56"/>
      <c r="E54" s="56"/>
    </row>
    <row r="55" spans="2:5" x14ac:dyDescent="0.25">
      <c r="B55" s="56"/>
      <c r="C55" s="56"/>
      <c r="D55" s="56"/>
      <c r="E55" s="56"/>
    </row>
  </sheetData>
  <hyperlinks>
    <hyperlink ref="B10" location="SU_05001" display="Shock Front Bracket" xr:uid="{00000000-0004-0000-5500-000000000000}"/>
    <hyperlink ref="E2" location="SU_A0500_BOM" display="Back to BOM" xr:uid="{00000000-0004-0000-5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sheetPr>
    <tabColor rgb="FFFFFF66"/>
    <pageSetUpPr fitToPage="1"/>
  </sheetPr>
  <dimension ref="A1:O23"/>
  <sheetViews>
    <sheetView tabSelected="1" zoomScale="75" zoomScaleNormal="75" zoomScalePageLayoutView="70" workbookViewId="0">
      <selection activeCell="G9" sqref="G9"/>
    </sheetView>
  </sheetViews>
  <sheetFormatPr baseColWidth="10" defaultColWidth="9.140625" defaultRowHeight="15" x14ac:dyDescent="0.25"/>
  <cols>
    <col min="2" max="2" width="17.140625" customWidth="1"/>
    <col min="3" max="3" width="19.140625" customWidth="1"/>
    <col min="7" max="7" width="15.28515625" customWidth="1"/>
    <col min="9" max="9" width="26.28515625" customWidth="1"/>
    <col min="10" max="10" width="12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SU_05001_m+SU_05001_p</f>
        <v>5.9234014172552163</v>
      </c>
      <c r="O2" s="62"/>
    </row>
    <row r="3" spans="1:15" x14ac:dyDescent="0.25">
      <c r="A3" s="99" t="s">
        <v>3</v>
      </c>
      <c r="B3" s="16" t="str">
        <f>'SU A0500'!B3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A0500'!B4</f>
        <v>Front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272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25">
      <c r="A6" s="99" t="s">
        <v>7</v>
      </c>
      <c r="B6" t="s">
        <v>308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 t="s">
        <v>300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25">
      <c r="A11" s="85">
        <v>10</v>
      </c>
      <c r="B11" s="659" t="s">
        <v>301</v>
      </c>
      <c r="C11" s="20" t="s">
        <v>302</v>
      </c>
      <c r="D11" s="272">
        <v>2.25</v>
      </c>
      <c r="E11" s="660">
        <f>J11*K11*L11</f>
        <v>0.17182285211342935</v>
      </c>
      <c r="F11" s="20" t="s">
        <v>141</v>
      </c>
      <c r="G11" s="20"/>
      <c r="H11" s="273"/>
      <c r="I11" s="21" t="s">
        <v>303</v>
      </c>
      <c r="J11" s="661">
        <f>PI()*0.0155^2</f>
        <v>7.5476763502494771E-4</v>
      </c>
      <c r="K11" s="662">
        <v>2.9000000000000001E-2</v>
      </c>
      <c r="L11" s="663">
        <v>7850</v>
      </c>
      <c r="M11" s="23">
        <v>1</v>
      </c>
      <c r="N11" s="272">
        <f>E11*D11</f>
        <v>0.38660141725521602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64"/>
      <c r="L14" s="24"/>
      <c r="M14" s="24"/>
      <c r="N14" s="24"/>
      <c r="O14" s="62"/>
    </row>
    <row r="15" spans="1:15" s="25" customFormat="1" ht="45" x14ac:dyDescent="0.25">
      <c r="A15" s="673">
        <v>10</v>
      </c>
      <c r="B15" s="676" t="s">
        <v>39</v>
      </c>
      <c r="C15" s="674" t="s">
        <v>68</v>
      </c>
      <c r="D15" s="675">
        <v>1.3</v>
      </c>
      <c r="E15" s="676" t="s">
        <v>35</v>
      </c>
      <c r="F15" s="677">
        <v>1</v>
      </c>
      <c r="G15" s="677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25">
      <c r="A16" s="678">
        <v>20</v>
      </c>
      <c r="B16" s="676" t="s">
        <v>92</v>
      </c>
      <c r="C16" s="679" t="s">
        <v>304</v>
      </c>
      <c r="D16" s="680">
        <v>0.04</v>
      </c>
      <c r="E16" s="679" t="s">
        <v>93</v>
      </c>
      <c r="F16" s="681">
        <v>2.64</v>
      </c>
      <c r="G16" s="676" t="s">
        <v>305</v>
      </c>
      <c r="H16" s="26">
        <v>3</v>
      </c>
      <c r="I16" s="272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30" x14ac:dyDescent="0.25">
      <c r="A17" s="673">
        <v>30</v>
      </c>
      <c r="B17" s="676" t="s">
        <v>306</v>
      </c>
      <c r="C17" s="679"/>
      <c r="D17" s="680">
        <v>0.65</v>
      </c>
      <c r="E17" s="676"/>
      <c r="F17" s="679">
        <v>1</v>
      </c>
      <c r="G17" s="679"/>
      <c r="H17" s="26"/>
      <c r="I17" s="272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25">
      <c r="A18" s="678">
        <v>40</v>
      </c>
      <c r="B18" s="676" t="s">
        <v>92</v>
      </c>
      <c r="C18" s="679" t="s">
        <v>304</v>
      </c>
      <c r="D18" s="680">
        <v>0.04</v>
      </c>
      <c r="E18" s="679" t="s">
        <v>93</v>
      </c>
      <c r="F18" s="681">
        <v>9.1999999999999993</v>
      </c>
      <c r="G18" s="676" t="s">
        <v>305</v>
      </c>
      <c r="H18" s="26">
        <v>3</v>
      </c>
      <c r="I18" s="272">
        <f t="shared" si="0"/>
        <v>1.1040000000000001</v>
      </c>
      <c r="J18" s="56"/>
      <c r="K18" s="56"/>
      <c r="L18" s="56"/>
      <c r="M18" s="56"/>
      <c r="N18" s="56"/>
      <c r="O18" s="62"/>
    </row>
    <row r="19" spans="1:15" ht="30" x14ac:dyDescent="0.25">
      <c r="A19" s="673">
        <v>50</v>
      </c>
      <c r="B19" s="676" t="s">
        <v>306</v>
      </c>
      <c r="C19" s="679"/>
      <c r="D19" s="680">
        <v>0.65</v>
      </c>
      <c r="E19" s="676"/>
      <c r="F19" s="679">
        <v>1</v>
      </c>
      <c r="G19" s="679"/>
      <c r="H19" s="26"/>
      <c r="I19" s="272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25">
      <c r="A20" s="678">
        <v>60</v>
      </c>
      <c r="B20" s="676" t="s">
        <v>92</v>
      </c>
      <c r="C20" s="679" t="s">
        <v>304</v>
      </c>
      <c r="D20" s="680">
        <v>0.04</v>
      </c>
      <c r="E20" s="679" t="s">
        <v>93</v>
      </c>
      <c r="F20" s="681">
        <v>6.8</v>
      </c>
      <c r="G20" s="676" t="s">
        <v>305</v>
      </c>
      <c r="H20" s="26">
        <v>3</v>
      </c>
      <c r="I20" s="272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30" x14ac:dyDescent="0.25">
      <c r="A21" s="673">
        <v>70</v>
      </c>
      <c r="B21" s="290" t="s">
        <v>307</v>
      </c>
      <c r="C21" s="679" t="s">
        <v>304</v>
      </c>
      <c r="D21" s="680">
        <v>0.35</v>
      </c>
      <c r="E21" s="679" t="s">
        <v>198</v>
      </c>
      <c r="F21" s="681">
        <v>2</v>
      </c>
      <c r="G21" s="676"/>
      <c r="H21" s="666"/>
      <c r="I21" s="667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25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.75" thickBot="1" x14ac:dyDescent="0.3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 xr:uid="{00000000-0004-0000-5600-000000000000}"/>
    <hyperlink ref="E3" location="dSU_05001" display="Drawing" xr:uid="{00000000-0004-0000-5600-000001000000}"/>
    <hyperlink ref="G2" location="SU_A0500_BOM" display="Back to BOM" xr:uid="{00000000-0004-0000-56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s="270" t="s">
        <v>124</v>
      </c>
      <c r="B1" s="270" t="s">
        <v>309</v>
      </c>
    </row>
  </sheetData>
  <hyperlinks>
    <hyperlink ref="A1" location="EL_01001" display="Drawing part :" xr:uid="{00000000-0004-0000-5700-000000000000}"/>
    <hyperlink ref="B1" location="SU_05001" display="SU_05001" xr:uid="{00000000-0004-0000-5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2.42578125" customWidth="1"/>
    <col min="3" max="3" width="45.85546875" customWidth="1"/>
    <col min="15" max="15" width="5.28515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697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SU_A0600_pa+SU_A0600_m+SU_A0600_p+SU_A0600_f+SU_A0600_t</f>
        <v>12.856091357590071</v>
      </c>
      <c r="O2" s="259"/>
    </row>
    <row r="3" spans="1:15" x14ac:dyDescent="0.25">
      <c r="A3" s="697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259"/>
    </row>
    <row r="4" spans="1:15" x14ac:dyDescent="0.25">
      <c r="A4" s="697" t="s">
        <v>5</v>
      </c>
      <c r="B4" s="57" t="s">
        <v>315</v>
      </c>
      <c r="C4" s="698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259"/>
    </row>
    <row r="5" spans="1:15" x14ac:dyDescent="0.25">
      <c r="A5" s="697" t="s">
        <v>7</v>
      </c>
      <c r="B5" s="18" t="s">
        <v>316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25.712182715180141</v>
      </c>
      <c r="O5" s="259"/>
    </row>
    <row r="6" spans="1:15" x14ac:dyDescent="0.25">
      <c r="A6" s="697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259"/>
    </row>
    <row r="7" spans="1:15" x14ac:dyDescent="0.25">
      <c r="A7" s="697" t="s">
        <v>13</v>
      </c>
      <c r="B7" s="16" t="s">
        <v>317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59"/>
    </row>
    <row r="8" spans="1:15" x14ac:dyDescent="0.25">
      <c r="A8" s="699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59"/>
    </row>
    <row r="9" spans="1:15" x14ac:dyDescent="0.25">
      <c r="A9" s="700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59"/>
    </row>
    <row r="10" spans="1:15" x14ac:dyDescent="0.25">
      <c r="A10" s="701">
        <v>10</v>
      </c>
      <c r="B10" s="702" t="s">
        <v>311</v>
      </c>
      <c r="C10" s="272">
        <f>'SU 06001'!N2</f>
        <v>1.3710986506763019</v>
      </c>
      <c r="D10" s="703">
        <f>SU_06001_q</f>
        <v>2</v>
      </c>
      <c r="E10" s="272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59"/>
    </row>
    <row r="11" spans="1:15" x14ac:dyDescent="0.25">
      <c r="A11" s="701">
        <v>20</v>
      </c>
      <c r="B11" s="704" t="s">
        <v>312</v>
      </c>
      <c r="C11" s="272">
        <f>'SU 06002'!N2</f>
        <v>1.5427786126391492</v>
      </c>
      <c r="D11" s="665">
        <f>SU_06002_q</f>
        <v>1</v>
      </c>
      <c r="E11" s="272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59"/>
    </row>
    <row r="12" spans="1:15" x14ac:dyDescent="0.25">
      <c r="A12" s="701">
        <v>30</v>
      </c>
      <c r="B12" s="705" t="s">
        <v>313</v>
      </c>
      <c r="C12" s="272">
        <f>'SU 06003'!N2</f>
        <v>0.88140624999999995</v>
      </c>
      <c r="D12" s="665">
        <f>SU_06003_q</f>
        <v>2</v>
      </c>
      <c r="E12" s="272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06"/>
    </row>
    <row r="13" spans="1:15" x14ac:dyDescent="0.25">
      <c r="A13" s="707">
        <v>40</v>
      </c>
      <c r="B13" s="702" t="s">
        <v>314</v>
      </c>
      <c r="C13" s="272">
        <f>'SU 06004'!N2</f>
        <v>2.2702062500000002</v>
      </c>
      <c r="D13" s="26">
        <f>SU_06004_q</f>
        <v>2</v>
      </c>
      <c r="E13" s="272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59"/>
    </row>
    <row r="14" spans="1:15" x14ac:dyDescent="0.25">
      <c r="A14" s="699"/>
      <c r="B14" s="56"/>
      <c r="C14" s="56"/>
      <c r="D14" s="254" t="s">
        <v>18</v>
      </c>
      <c r="E14" s="23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59"/>
    </row>
    <row r="15" spans="1:15" x14ac:dyDescent="0.25">
      <c r="A15" s="699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59"/>
    </row>
    <row r="16" spans="1:15" x14ac:dyDescent="0.25">
      <c r="A16" s="697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259"/>
    </row>
    <row r="17" spans="1:15" x14ac:dyDescent="0.25">
      <c r="A17" s="708">
        <v>10</v>
      </c>
      <c r="B17" s="72" t="s">
        <v>276</v>
      </c>
      <c r="C17" s="72" t="s">
        <v>318</v>
      </c>
      <c r="D17" s="74">
        <v>10</v>
      </c>
      <c r="E17" s="72">
        <v>3.0000000000000001E-3</v>
      </c>
      <c r="F17" s="72" t="s">
        <v>202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59"/>
    </row>
    <row r="18" spans="1:15" s="22" customFormat="1" x14ac:dyDescent="0.25">
      <c r="A18" s="708">
        <v>20</v>
      </c>
      <c r="B18" s="72" t="s">
        <v>276</v>
      </c>
      <c r="C18" s="709" t="s">
        <v>319</v>
      </c>
      <c r="D18" s="74">
        <v>10</v>
      </c>
      <c r="E18" s="710">
        <v>6.0000000000000001E-3</v>
      </c>
      <c r="F18" s="710" t="s">
        <v>202</v>
      </c>
      <c r="G18" s="710"/>
      <c r="H18" s="75"/>
      <c r="I18" s="711"/>
      <c r="J18" s="94"/>
      <c r="K18" s="78"/>
      <c r="L18" s="79"/>
      <c r="M18" s="81">
        <v>1</v>
      </c>
      <c r="N18" s="74">
        <f>M18*D18*E18</f>
        <v>0.06</v>
      </c>
      <c r="O18" s="712"/>
    </row>
    <row r="19" spans="1:15" x14ac:dyDescent="0.25">
      <c r="A19" s="713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0.09</v>
      </c>
      <c r="O19" s="259"/>
    </row>
    <row r="20" spans="1:15" x14ac:dyDescent="0.25">
      <c r="A20" s="699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59"/>
    </row>
    <row r="21" spans="1:15" s="25" customFormat="1" x14ac:dyDescent="0.25">
      <c r="A21" s="697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714"/>
    </row>
    <row r="22" spans="1:15" x14ac:dyDescent="0.25">
      <c r="A22" s="708">
        <v>10</v>
      </c>
      <c r="B22" s="72" t="s">
        <v>160</v>
      </c>
      <c r="C22" s="72" t="s">
        <v>320</v>
      </c>
      <c r="D22" s="74">
        <v>0.15</v>
      </c>
      <c r="E22" s="72" t="s">
        <v>40</v>
      </c>
      <c r="F22" s="715">
        <v>10</v>
      </c>
      <c r="G22" s="715"/>
      <c r="H22" s="715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59"/>
    </row>
    <row r="23" spans="1:15" x14ac:dyDescent="0.25">
      <c r="A23" s="708">
        <v>20</v>
      </c>
      <c r="B23" s="716" t="s">
        <v>280</v>
      </c>
      <c r="C23" s="72" t="s">
        <v>321</v>
      </c>
      <c r="D23" s="74">
        <v>5.25</v>
      </c>
      <c r="E23" s="716" t="s">
        <v>202</v>
      </c>
      <c r="F23" s="715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59"/>
    </row>
    <row r="24" spans="1:15" x14ac:dyDescent="0.25">
      <c r="A24" s="708">
        <v>30</v>
      </c>
      <c r="B24" s="716" t="s">
        <v>280</v>
      </c>
      <c r="C24" s="72" t="s">
        <v>322</v>
      </c>
      <c r="D24" s="74">
        <v>5.25</v>
      </c>
      <c r="E24" s="72" t="s">
        <v>202</v>
      </c>
      <c r="F24" s="715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59"/>
    </row>
    <row r="25" spans="1:15" s="17" customFormat="1" x14ac:dyDescent="0.25">
      <c r="A25" s="708">
        <v>40</v>
      </c>
      <c r="B25" s="716" t="s">
        <v>154</v>
      </c>
      <c r="C25" s="72" t="s">
        <v>323</v>
      </c>
      <c r="D25" s="74">
        <v>0.06</v>
      </c>
      <c r="E25" s="72" t="s">
        <v>35</v>
      </c>
      <c r="F25" s="715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17"/>
    </row>
    <row r="26" spans="1:15" s="25" customFormat="1" x14ac:dyDescent="0.25">
      <c r="A26" s="708">
        <v>50</v>
      </c>
      <c r="B26" s="716" t="s">
        <v>154</v>
      </c>
      <c r="C26" s="72" t="s">
        <v>324</v>
      </c>
      <c r="D26" s="74">
        <v>0.06</v>
      </c>
      <c r="E26" s="72" t="s">
        <v>35</v>
      </c>
      <c r="F26" s="715">
        <v>1</v>
      </c>
      <c r="G26" s="715"/>
      <c r="H26" s="715"/>
      <c r="I26" s="74">
        <f t="shared" si="0"/>
        <v>0.06</v>
      </c>
      <c r="J26" s="57"/>
      <c r="K26" s="57"/>
      <c r="L26" s="57"/>
      <c r="M26" s="57"/>
      <c r="N26" s="57"/>
      <c r="O26" s="714"/>
    </row>
    <row r="27" spans="1:15" s="17" customFormat="1" ht="14.45" customHeight="1" x14ac:dyDescent="0.25">
      <c r="A27" s="718">
        <v>60</v>
      </c>
      <c r="B27" s="719" t="s">
        <v>154</v>
      </c>
      <c r="C27" s="719" t="s">
        <v>325</v>
      </c>
      <c r="D27" s="74">
        <v>0.06</v>
      </c>
      <c r="E27" s="719" t="s">
        <v>35</v>
      </c>
      <c r="F27" s="720">
        <v>1</v>
      </c>
      <c r="G27" s="228"/>
      <c r="H27" s="72"/>
      <c r="I27" s="74">
        <f t="shared" si="0"/>
        <v>0.06</v>
      </c>
      <c r="J27" s="57"/>
      <c r="K27" s="57"/>
      <c r="L27" s="57"/>
      <c r="M27" s="57"/>
      <c r="N27" s="57"/>
      <c r="O27" s="717"/>
    </row>
    <row r="28" spans="1:15" s="17" customFormat="1" ht="14.45" customHeight="1" x14ac:dyDescent="0.25">
      <c r="A28" s="701">
        <v>70</v>
      </c>
      <c r="B28" s="721" t="s">
        <v>289</v>
      </c>
      <c r="C28" s="643" t="s">
        <v>326</v>
      </c>
      <c r="D28" s="272">
        <v>0.12</v>
      </c>
      <c r="E28" s="27" t="s">
        <v>35</v>
      </c>
      <c r="F28" s="26">
        <v>1</v>
      </c>
      <c r="G28" s="665"/>
      <c r="H28" s="722"/>
      <c r="I28" s="74">
        <f t="shared" si="0"/>
        <v>0.12</v>
      </c>
      <c r="J28" s="57"/>
      <c r="K28" s="57"/>
      <c r="L28" s="57"/>
      <c r="M28" s="57"/>
      <c r="N28" s="57"/>
      <c r="O28" s="717"/>
    </row>
    <row r="29" spans="1:15" s="17" customFormat="1" ht="14.45" customHeight="1" x14ac:dyDescent="0.25">
      <c r="A29" s="701">
        <v>80</v>
      </c>
      <c r="B29" s="721" t="s">
        <v>289</v>
      </c>
      <c r="C29" s="723" t="s">
        <v>327</v>
      </c>
      <c r="D29" s="272">
        <v>0.12</v>
      </c>
      <c r="E29" s="27" t="s">
        <v>35</v>
      </c>
      <c r="F29" s="26">
        <v>1</v>
      </c>
      <c r="G29" s="665"/>
      <c r="H29" s="722"/>
      <c r="I29" s="74">
        <f t="shared" si="0"/>
        <v>0.12</v>
      </c>
      <c r="J29" s="57"/>
      <c r="K29" s="57"/>
      <c r="L29" s="57"/>
      <c r="M29" s="57"/>
      <c r="N29" s="57"/>
      <c r="O29" s="717"/>
    </row>
    <row r="30" spans="1:15" s="17" customFormat="1" ht="14.45" customHeight="1" x14ac:dyDescent="0.25">
      <c r="A30" s="701">
        <v>90</v>
      </c>
      <c r="B30" s="721" t="s">
        <v>292</v>
      </c>
      <c r="C30" s="723" t="s">
        <v>293</v>
      </c>
      <c r="D30" s="272">
        <v>0.75</v>
      </c>
      <c r="E30" s="27" t="s">
        <v>35</v>
      </c>
      <c r="F30" s="26">
        <v>1</v>
      </c>
      <c r="G30" s="665"/>
      <c r="H30" s="722"/>
      <c r="I30" s="74">
        <f t="shared" si="0"/>
        <v>0.75</v>
      </c>
      <c r="J30" s="57"/>
      <c r="K30" s="57"/>
      <c r="L30" s="57"/>
      <c r="M30" s="57"/>
      <c r="N30" s="57"/>
      <c r="O30" s="717"/>
    </row>
    <row r="31" spans="1:15" s="17" customFormat="1" ht="14.45" customHeight="1" x14ac:dyDescent="0.25">
      <c r="A31" s="701">
        <v>100</v>
      </c>
      <c r="B31" s="721" t="s">
        <v>294</v>
      </c>
      <c r="C31" s="723" t="s">
        <v>293</v>
      </c>
      <c r="D31" s="272">
        <v>0.25</v>
      </c>
      <c r="E31" s="27" t="s">
        <v>35</v>
      </c>
      <c r="F31" s="26">
        <v>1</v>
      </c>
      <c r="G31" s="665"/>
      <c r="H31" s="722"/>
      <c r="I31" s="74">
        <f t="shared" si="0"/>
        <v>0.25</v>
      </c>
      <c r="J31" s="57"/>
      <c r="K31" s="57"/>
      <c r="L31" s="57"/>
      <c r="M31" s="57"/>
      <c r="N31" s="57"/>
      <c r="O31" s="717"/>
    </row>
    <row r="32" spans="1:15" x14ac:dyDescent="0.25">
      <c r="A32" s="713"/>
      <c r="B32" s="24"/>
      <c r="C32" s="24"/>
      <c r="D32" s="24"/>
      <c r="E32" s="24"/>
      <c r="F32" s="24"/>
      <c r="G32" s="24"/>
      <c r="H32" s="98" t="s">
        <v>18</v>
      </c>
      <c r="I32" s="97">
        <f>SUM(I22:I24)</f>
        <v>1.5945</v>
      </c>
      <c r="J32" s="56"/>
      <c r="K32" s="56"/>
      <c r="L32" s="56"/>
      <c r="M32" s="56"/>
      <c r="N32" s="56"/>
      <c r="O32" s="259"/>
    </row>
    <row r="33" spans="1:15" x14ac:dyDescent="0.25">
      <c r="A33" s="699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59"/>
    </row>
    <row r="34" spans="1:15" x14ac:dyDescent="0.25">
      <c r="A34" s="697" t="s">
        <v>14</v>
      </c>
      <c r="B34" s="95" t="s">
        <v>36</v>
      </c>
      <c r="C34" s="95" t="s">
        <v>20</v>
      </c>
      <c r="D34" s="95" t="s">
        <v>21</v>
      </c>
      <c r="E34" s="95" t="s">
        <v>22</v>
      </c>
      <c r="F34" s="95" t="s">
        <v>23</v>
      </c>
      <c r="G34" s="95" t="s">
        <v>24</v>
      </c>
      <c r="H34" s="95" t="s">
        <v>25</v>
      </c>
      <c r="I34" s="95" t="s">
        <v>17</v>
      </c>
      <c r="J34" s="95" t="s">
        <v>18</v>
      </c>
      <c r="K34" s="56"/>
      <c r="L34" s="56"/>
      <c r="M34" s="56"/>
      <c r="N34" s="56"/>
      <c r="O34" s="259"/>
    </row>
    <row r="35" spans="1:15" x14ac:dyDescent="0.25">
      <c r="A35" s="708">
        <v>10</v>
      </c>
      <c r="B35" s="72" t="s">
        <v>295</v>
      </c>
      <c r="C35" s="72" t="s">
        <v>328</v>
      </c>
      <c r="D35" s="653">
        <f>0.8/105154*E35^2*G35*SQRT(G35)+0.003*EXP(0.319*E35)</f>
        <v>0.18547981844542938</v>
      </c>
      <c r="E35" s="654">
        <v>8</v>
      </c>
      <c r="F35" s="654" t="s">
        <v>30</v>
      </c>
      <c r="G35" s="654">
        <v>45</v>
      </c>
      <c r="H35" s="654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59"/>
    </row>
    <row r="36" spans="1:15" x14ac:dyDescent="0.25">
      <c r="A36" s="708">
        <v>20</v>
      </c>
      <c r="B36" s="72" t="s">
        <v>297</v>
      </c>
      <c r="C36" s="72" t="s">
        <v>328</v>
      </c>
      <c r="D36" s="653">
        <v>0.01</v>
      </c>
      <c r="E36" s="72"/>
      <c r="F36" s="655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59"/>
    </row>
    <row r="37" spans="1:15" x14ac:dyDescent="0.25">
      <c r="A37" s="708">
        <v>30</v>
      </c>
      <c r="B37" s="72" t="s">
        <v>298</v>
      </c>
      <c r="C37" s="72" t="s">
        <v>328</v>
      </c>
      <c r="D37" s="653">
        <f>0.009*EXP(0.2*E37)</f>
        <v>4.4577291819556032E-2</v>
      </c>
      <c r="E37" s="72">
        <v>8</v>
      </c>
      <c r="F37" s="655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59"/>
    </row>
    <row r="38" spans="1:15" x14ac:dyDescent="0.25">
      <c r="A38" s="713"/>
      <c r="B38" s="24"/>
      <c r="C38" s="24"/>
      <c r="D38" s="24"/>
      <c r="E38" s="24"/>
      <c r="F38" s="24"/>
      <c r="G38" s="24"/>
      <c r="H38" s="24"/>
      <c r="I38" s="98" t="s">
        <v>18</v>
      </c>
      <c r="J38" s="97">
        <f>SUM(J35:J37)</f>
        <v>0.25005711026498539</v>
      </c>
      <c r="K38" s="56"/>
      <c r="L38" s="56"/>
      <c r="M38" s="56"/>
      <c r="N38" s="56"/>
      <c r="O38" s="259"/>
    </row>
    <row r="39" spans="1:15" x14ac:dyDescent="0.25">
      <c r="A39" s="699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59"/>
    </row>
    <row r="40" spans="1:15" x14ac:dyDescent="0.25">
      <c r="A40" s="697" t="s">
        <v>14</v>
      </c>
      <c r="B40" s="95" t="s">
        <v>179</v>
      </c>
      <c r="C40" s="95" t="s">
        <v>20</v>
      </c>
      <c r="D40" s="95" t="s">
        <v>21</v>
      </c>
      <c r="E40" s="95" t="s">
        <v>32</v>
      </c>
      <c r="F40" s="95" t="s">
        <v>17</v>
      </c>
      <c r="G40" s="95" t="s">
        <v>180</v>
      </c>
      <c r="H40" s="95" t="s">
        <v>181</v>
      </c>
      <c r="I40" s="95" t="s">
        <v>18</v>
      </c>
      <c r="J40" s="24"/>
      <c r="K40" s="56"/>
      <c r="L40" s="56"/>
      <c r="M40" s="56"/>
      <c r="N40" s="56"/>
      <c r="O40" s="259"/>
    </row>
    <row r="41" spans="1:15" x14ac:dyDescent="0.25">
      <c r="A41" s="708">
        <v>10</v>
      </c>
      <c r="B41" s="72" t="s">
        <v>182</v>
      </c>
      <c r="C41" s="72" t="s">
        <v>329</v>
      </c>
      <c r="D41" s="74">
        <v>500</v>
      </c>
      <c r="E41" s="72" t="s">
        <v>184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59"/>
    </row>
    <row r="42" spans="1:15" x14ac:dyDescent="0.25">
      <c r="A42" s="713"/>
      <c r="B42" s="24"/>
      <c r="C42" s="24"/>
      <c r="D42" s="24"/>
      <c r="E42" s="24"/>
      <c r="F42" s="24"/>
      <c r="G42" s="24"/>
      <c r="H42" s="254" t="s">
        <v>18</v>
      </c>
      <c r="I42" s="234">
        <f>SUM(I41:I41)</f>
        <v>0.33333333333333331</v>
      </c>
      <c r="J42" s="24"/>
      <c r="K42" s="56"/>
      <c r="L42" s="56"/>
      <c r="M42" s="56"/>
      <c r="N42" s="56"/>
      <c r="O42" s="259"/>
    </row>
    <row r="43" spans="1:15" ht="15.75" thickBot="1" x14ac:dyDescent="0.3">
      <c r="A43" s="279"/>
      <c r="B43" s="280"/>
      <c r="C43" s="280"/>
      <c r="D43" s="280"/>
      <c r="E43" s="280"/>
      <c r="F43" s="280"/>
      <c r="G43" s="280"/>
      <c r="H43" s="280"/>
      <c r="I43" s="280"/>
      <c r="J43" s="280"/>
      <c r="K43" s="280"/>
      <c r="L43" s="280"/>
      <c r="M43" s="280"/>
      <c r="N43" s="280"/>
      <c r="O43" s="281"/>
    </row>
    <row r="44" spans="1:15" x14ac:dyDescent="0.25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 xr:uid="{00000000-0004-0000-5800-000000000000}"/>
    <hyperlink ref="B11" location="SU_06002" display="Rocker spacer" xr:uid="{00000000-0004-0000-5800-000001000000}"/>
    <hyperlink ref="B12" location="SU_06003" display="Sheets of metal for rocker" xr:uid="{00000000-0004-0000-5800-000002000000}"/>
    <hyperlink ref="B13" location="SU_06004" display="Front rocker mount" xr:uid="{00000000-0004-0000-5800-000003000000}"/>
    <hyperlink ref="E2" location="SU_A0600_BOM" display="Back to BOM" xr:uid="{00000000-0004-0000-58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FF66"/>
    <pageSetUpPr fitToPage="1"/>
  </sheetPr>
  <dimension ref="A1:Q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5.140625" customWidth="1"/>
    <col min="3" max="3" width="21.42578125" customWidth="1"/>
    <col min="7" max="7" width="13.85546875" customWidth="1"/>
    <col min="9" max="9" width="14" customWidth="1"/>
    <col min="17" max="17" width="12.85546875" bestFit="1" customWidth="1"/>
  </cols>
  <sheetData>
    <row r="1" spans="1:17" x14ac:dyDescent="0.25">
      <c r="A1" s="330"/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2"/>
    </row>
    <row r="2" spans="1:17" x14ac:dyDescent="0.25">
      <c r="A2" s="333" t="s">
        <v>0</v>
      </c>
      <c r="B2" s="334" t="s">
        <v>37</v>
      </c>
      <c r="C2" s="335"/>
      <c r="D2" s="335"/>
      <c r="E2" s="335"/>
      <c r="F2" s="335"/>
      <c r="G2" s="336" t="s">
        <v>62</v>
      </c>
      <c r="H2" s="335"/>
      <c r="I2" s="335"/>
      <c r="J2" s="337" t="s">
        <v>1</v>
      </c>
      <c r="K2" s="338">
        <v>81</v>
      </c>
      <c r="L2" s="335"/>
      <c r="M2" s="333" t="s">
        <v>16</v>
      </c>
      <c r="N2" s="339">
        <f>N12+I17</f>
        <v>0.98904401600000003</v>
      </c>
      <c r="O2" s="340"/>
    </row>
    <row r="3" spans="1:17" x14ac:dyDescent="0.25">
      <c r="A3" s="333" t="s">
        <v>3</v>
      </c>
      <c r="B3" s="334" t="str">
        <f>'SU A0100'!B3</f>
        <v>Suspension &amp; Shocks</v>
      </c>
      <c r="C3" s="335"/>
      <c r="D3" s="333" t="s">
        <v>6</v>
      </c>
      <c r="E3" s="376" t="s">
        <v>60</v>
      </c>
      <c r="F3" s="335"/>
      <c r="G3" s="335"/>
      <c r="H3" s="335"/>
      <c r="I3" s="335"/>
      <c r="J3" s="335"/>
      <c r="K3" s="335"/>
      <c r="L3" s="335"/>
      <c r="M3" s="333" t="s">
        <v>4</v>
      </c>
      <c r="N3" s="342">
        <v>2</v>
      </c>
      <c r="O3" s="340"/>
    </row>
    <row r="4" spans="1:17" x14ac:dyDescent="0.25">
      <c r="A4" s="333" t="s">
        <v>5</v>
      </c>
      <c r="B4" s="336" t="str">
        <f>'SU A0100'!B4</f>
        <v>Upper Front A-arm</v>
      </c>
      <c r="C4" s="335"/>
      <c r="D4" s="333" t="s">
        <v>8</v>
      </c>
      <c r="E4" s="335"/>
      <c r="F4" s="335"/>
      <c r="G4" s="335"/>
      <c r="H4" s="335"/>
      <c r="I4" s="335"/>
      <c r="J4" s="343" t="s">
        <v>6</v>
      </c>
      <c r="K4" s="335"/>
      <c r="L4" s="335"/>
      <c r="M4" s="335"/>
      <c r="N4" s="335"/>
      <c r="O4" s="340"/>
    </row>
    <row r="5" spans="1:17" x14ac:dyDescent="0.25">
      <c r="A5" s="333" t="s">
        <v>15</v>
      </c>
      <c r="B5" s="377" t="s">
        <v>122</v>
      </c>
      <c r="C5" s="335"/>
      <c r="D5" s="333" t="s">
        <v>12</v>
      </c>
      <c r="E5" s="335"/>
      <c r="F5" s="335"/>
      <c r="G5" s="335"/>
      <c r="H5" s="335"/>
      <c r="I5" s="335"/>
      <c r="J5" s="343" t="s">
        <v>8</v>
      </c>
      <c r="K5" s="335"/>
      <c r="L5" s="335"/>
      <c r="M5" s="333" t="s">
        <v>9</v>
      </c>
      <c r="N5" s="339">
        <f>N3*N2</f>
        <v>1.9780880320000001</v>
      </c>
      <c r="O5" s="340"/>
    </row>
    <row r="6" spans="1:17" x14ac:dyDescent="0.25">
      <c r="A6" s="333" t="s">
        <v>7</v>
      </c>
      <c r="B6" s="344" t="s">
        <v>101</v>
      </c>
      <c r="C6" s="335"/>
      <c r="D6" s="335"/>
      <c r="E6" s="335"/>
      <c r="F6" s="335"/>
      <c r="G6" s="335"/>
      <c r="H6" s="335"/>
      <c r="I6" s="335"/>
      <c r="J6" s="343" t="s">
        <v>12</v>
      </c>
      <c r="K6" s="335"/>
      <c r="L6" s="335"/>
      <c r="M6" s="335"/>
      <c r="N6" s="335"/>
      <c r="O6" s="340"/>
    </row>
    <row r="7" spans="1:17" x14ac:dyDescent="0.25">
      <c r="A7" s="333" t="s">
        <v>10</v>
      </c>
      <c r="B7" s="334" t="s">
        <v>11</v>
      </c>
      <c r="C7" s="335"/>
      <c r="D7" s="335"/>
      <c r="E7" s="335"/>
      <c r="F7" s="335"/>
      <c r="G7" s="335"/>
      <c r="H7" s="335"/>
      <c r="I7" s="335"/>
      <c r="J7" s="335"/>
      <c r="K7" s="335"/>
      <c r="L7" s="335"/>
      <c r="M7" s="335"/>
      <c r="N7" s="335"/>
      <c r="O7" s="340"/>
    </row>
    <row r="8" spans="1:17" x14ac:dyDescent="0.25">
      <c r="A8" s="333" t="s">
        <v>13</v>
      </c>
      <c r="B8" s="334"/>
      <c r="C8" s="335"/>
      <c r="D8" s="335"/>
      <c r="E8" s="335"/>
      <c r="F8" s="335"/>
      <c r="G8" s="335"/>
      <c r="H8" s="335"/>
      <c r="I8" s="335"/>
      <c r="J8" s="335"/>
      <c r="K8" s="335"/>
      <c r="L8" s="335"/>
      <c r="M8" s="335"/>
      <c r="N8" s="335"/>
      <c r="O8" s="340"/>
    </row>
    <row r="9" spans="1:17" x14ac:dyDescent="0.25">
      <c r="A9" s="345"/>
      <c r="B9" s="346"/>
      <c r="C9" s="346"/>
      <c r="D9" s="346"/>
      <c r="E9" s="346"/>
      <c r="F9" s="335"/>
      <c r="G9" s="335"/>
      <c r="H9" s="335"/>
      <c r="I9" s="335"/>
      <c r="J9" s="335"/>
      <c r="K9" s="335"/>
      <c r="L9" s="335"/>
      <c r="M9" s="335"/>
      <c r="N9" s="335"/>
      <c r="O9" s="340"/>
    </row>
    <row r="10" spans="1:17" x14ac:dyDescent="0.25">
      <c r="A10" s="347" t="s">
        <v>14</v>
      </c>
      <c r="B10" s="348" t="s">
        <v>19</v>
      </c>
      <c r="C10" s="348" t="s">
        <v>20</v>
      </c>
      <c r="D10" s="348" t="s">
        <v>21</v>
      </c>
      <c r="E10" s="348" t="s">
        <v>22</v>
      </c>
      <c r="F10" s="349" t="s">
        <v>23</v>
      </c>
      <c r="G10" s="349" t="s">
        <v>24</v>
      </c>
      <c r="H10" s="349" t="s">
        <v>25</v>
      </c>
      <c r="I10" s="349" t="s">
        <v>26</v>
      </c>
      <c r="J10" s="349" t="s">
        <v>27</v>
      </c>
      <c r="K10" s="349" t="s">
        <v>28</v>
      </c>
      <c r="L10" s="349" t="s">
        <v>29</v>
      </c>
      <c r="M10" s="349" t="s">
        <v>17</v>
      </c>
      <c r="N10" s="349" t="s">
        <v>18</v>
      </c>
      <c r="O10" s="340"/>
    </row>
    <row r="11" spans="1:17" x14ac:dyDescent="0.25">
      <c r="A11" s="350">
        <v>10</v>
      </c>
      <c r="B11" s="378" t="s">
        <v>98</v>
      </c>
      <c r="C11" s="354" t="s">
        <v>38</v>
      </c>
      <c r="D11" s="361">
        <v>2.25</v>
      </c>
      <c r="E11" s="356">
        <f>J11*K11*L11</f>
        <v>1.7352896E-2</v>
      </c>
      <c r="F11" s="354" t="s">
        <v>94</v>
      </c>
      <c r="G11" s="354"/>
      <c r="H11" s="355"/>
      <c r="I11" s="356" t="s">
        <v>97</v>
      </c>
      <c r="J11" s="357">
        <f>3.14*8*8/1000000</f>
        <v>2.0096E-4</v>
      </c>
      <c r="K11" s="357">
        <v>1.0999999999999999E-2</v>
      </c>
      <c r="L11" s="359">
        <v>7850</v>
      </c>
      <c r="M11" s="360">
        <v>1</v>
      </c>
      <c r="N11" s="361">
        <f>D11*E11*M11</f>
        <v>3.9044016000000001E-2</v>
      </c>
      <c r="O11" s="362"/>
      <c r="Q11" s="131"/>
    </row>
    <row r="12" spans="1:17" x14ac:dyDescent="0.25">
      <c r="A12" s="363"/>
      <c r="B12" s="364"/>
      <c r="C12" s="364"/>
      <c r="D12" s="364"/>
      <c r="E12" s="364"/>
      <c r="F12" s="364"/>
      <c r="G12" s="364"/>
      <c r="H12" s="364"/>
      <c r="I12" s="364"/>
      <c r="J12" s="364"/>
      <c r="K12" s="364"/>
      <c r="L12" s="364"/>
      <c r="M12" s="365" t="s">
        <v>18</v>
      </c>
      <c r="N12" s="366">
        <f>SUM(N11:N11)</f>
        <v>3.9044016000000001E-2</v>
      </c>
      <c r="O12" s="340"/>
    </row>
    <row r="13" spans="1:17" x14ac:dyDescent="0.25">
      <c r="A13" s="367"/>
      <c r="B13" s="335"/>
      <c r="C13" s="335"/>
      <c r="D13" s="335"/>
      <c r="E13" s="335"/>
      <c r="F13" s="335"/>
      <c r="G13" s="335"/>
      <c r="H13" s="335"/>
      <c r="I13" s="335"/>
      <c r="J13" s="335"/>
      <c r="K13" s="335"/>
      <c r="L13" s="335"/>
      <c r="M13" s="335"/>
      <c r="N13" s="335"/>
      <c r="O13" s="340"/>
    </row>
    <row r="14" spans="1:17" x14ac:dyDescent="0.25">
      <c r="A14" s="368" t="s">
        <v>14</v>
      </c>
      <c r="B14" s="349" t="s">
        <v>31</v>
      </c>
      <c r="C14" s="349" t="s">
        <v>20</v>
      </c>
      <c r="D14" s="349" t="s">
        <v>21</v>
      </c>
      <c r="E14" s="349" t="s">
        <v>32</v>
      </c>
      <c r="F14" s="349" t="s">
        <v>17</v>
      </c>
      <c r="G14" s="349" t="s">
        <v>33</v>
      </c>
      <c r="H14" s="349" t="s">
        <v>34</v>
      </c>
      <c r="I14" s="349" t="s">
        <v>18</v>
      </c>
      <c r="J14" s="364"/>
      <c r="K14" s="364"/>
      <c r="L14" s="364"/>
      <c r="M14" s="364"/>
      <c r="N14" s="364"/>
      <c r="O14" s="340"/>
    </row>
    <row r="15" spans="1:17" ht="30" x14ac:dyDescent="0.25">
      <c r="A15" s="322">
        <v>10</v>
      </c>
      <c r="B15" s="322" t="s">
        <v>39</v>
      </c>
      <c r="C15" s="322" t="s">
        <v>68</v>
      </c>
      <c r="D15" s="327">
        <v>1.3</v>
      </c>
      <c r="E15" s="322" t="s">
        <v>32</v>
      </c>
      <c r="F15" s="227">
        <v>1</v>
      </c>
      <c r="G15" s="321" t="s">
        <v>221</v>
      </c>
      <c r="H15" s="321">
        <v>0.5</v>
      </c>
      <c r="I15" s="329">
        <f>IF(H15="",D15*F15,D15*F15*H15)</f>
        <v>0.65</v>
      </c>
      <c r="J15" s="370"/>
      <c r="K15" s="370"/>
      <c r="L15" s="370"/>
      <c r="M15" s="370"/>
      <c r="N15" s="370"/>
      <c r="O15" s="371"/>
    </row>
    <row r="16" spans="1:17" x14ac:dyDescent="0.25">
      <c r="A16" s="379">
        <v>20</v>
      </c>
      <c r="B16" s="379" t="s">
        <v>92</v>
      </c>
      <c r="C16" s="379" t="s">
        <v>196</v>
      </c>
      <c r="D16" s="380">
        <v>0.04</v>
      </c>
      <c r="E16" s="379" t="s">
        <v>93</v>
      </c>
      <c r="F16" s="379">
        <v>2.5</v>
      </c>
      <c r="G16" s="379" t="s">
        <v>197</v>
      </c>
      <c r="H16" s="379">
        <v>3</v>
      </c>
      <c r="I16" s="329">
        <f>IF(H16="",D16*F16,D16*F16*H16)</f>
        <v>0.30000000000000004</v>
      </c>
      <c r="J16" s="335"/>
      <c r="K16" s="335"/>
      <c r="L16" s="335"/>
      <c r="M16" s="335"/>
      <c r="N16" s="335"/>
      <c r="O16" s="340"/>
    </row>
    <row r="17" spans="1:15" x14ac:dyDescent="0.25">
      <c r="A17" s="363"/>
      <c r="B17" s="364"/>
      <c r="C17" s="364"/>
      <c r="D17" s="364"/>
      <c r="E17" s="364"/>
      <c r="F17" s="364"/>
      <c r="G17" s="364"/>
      <c r="H17" s="372" t="s">
        <v>18</v>
      </c>
      <c r="I17" s="366">
        <f>SUM(I15:I16)</f>
        <v>0.95000000000000007</v>
      </c>
      <c r="J17" s="364"/>
      <c r="K17" s="364"/>
      <c r="L17" s="364"/>
      <c r="M17" s="364"/>
      <c r="N17" s="364"/>
      <c r="O17" s="340"/>
    </row>
    <row r="18" spans="1:15" ht="15.75" thickBot="1" x14ac:dyDescent="0.3">
      <c r="A18" s="373"/>
      <c r="B18" s="374"/>
      <c r="C18" s="374"/>
      <c r="D18" s="374"/>
      <c r="E18" s="374"/>
      <c r="F18" s="374"/>
      <c r="G18" s="374"/>
      <c r="H18" s="374"/>
      <c r="I18" s="374"/>
      <c r="J18" s="374"/>
      <c r="K18" s="374"/>
      <c r="L18" s="374"/>
      <c r="M18" s="374"/>
      <c r="N18" s="374"/>
      <c r="O18" s="375"/>
    </row>
  </sheetData>
  <hyperlinks>
    <hyperlink ref="B4" location="'SU A0100'!A1" display="'SU A0100'!A1" xr:uid="{00000000-0004-0000-0800-000000000000}"/>
    <hyperlink ref="E3" location="dSU_01005" display="Drawing" xr:uid="{00000000-0004-0000-0800-000001000000}"/>
    <hyperlink ref="G2" location="SU_A0100_BOM" display="Back to BOM" xr:uid="{00000000-0004-0000-0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7" fitToHeight="99" orientation="landscape" r:id="rId1"/>
  <headerFooter>
    <oddFooter>Page &amp;P</oddFooter>
  </headerFooter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sheetPr>
    <tabColor rgb="FFFFFF66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25.140625" customWidth="1"/>
    <col min="9" max="9" width="27.28515625" customWidth="1"/>
    <col min="10" max="10" width="13.57031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724" t="s">
        <v>0</v>
      </c>
      <c r="B2" s="16" t="s">
        <v>37</v>
      </c>
      <c r="C2" s="725"/>
      <c r="D2" s="725"/>
      <c r="E2" s="725"/>
      <c r="F2" s="87" t="s">
        <v>62</v>
      </c>
      <c r="G2" s="725"/>
      <c r="H2" s="725"/>
      <c r="I2" s="725"/>
      <c r="J2" s="726" t="s">
        <v>1</v>
      </c>
      <c r="K2" s="727">
        <v>81</v>
      </c>
      <c r="L2" s="725"/>
      <c r="M2" s="724" t="s">
        <v>16</v>
      </c>
      <c r="N2" s="728">
        <f>SU_06001_m+SU_06001_p</f>
        <v>1.3710986506763019</v>
      </c>
      <c r="O2" s="259"/>
    </row>
    <row r="3" spans="1:15" x14ac:dyDescent="0.25">
      <c r="A3" s="724" t="s">
        <v>3</v>
      </c>
      <c r="B3" s="16" t="str">
        <f>'SU A0600'!B3</f>
        <v>Suspension &amp; Shocks</v>
      </c>
      <c r="C3" s="725"/>
      <c r="D3" s="724" t="s">
        <v>6</v>
      </c>
      <c r="E3" s="725"/>
      <c r="F3" s="725"/>
      <c r="G3" s="725"/>
      <c r="H3" s="725"/>
      <c r="I3" s="725"/>
      <c r="J3" s="725"/>
      <c r="K3" s="725"/>
      <c r="L3" s="725"/>
      <c r="M3" s="724" t="s">
        <v>4</v>
      </c>
      <c r="N3" s="729">
        <v>2</v>
      </c>
      <c r="O3" s="259"/>
    </row>
    <row r="4" spans="1:15" x14ac:dyDescent="0.25">
      <c r="A4" s="724" t="s">
        <v>5</v>
      </c>
      <c r="B4" s="87" t="str">
        <f>'SU A0600'!B4</f>
        <v>Front Bell Crank</v>
      </c>
      <c r="C4" s="725"/>
      <c r="D4" s="724" t="s">
        <v>8</v>
      </c>
      <c r="E4" s="725"/>
      <c r="F4" s="725"/>
      <c r="G4" s="725"/>
      <c r="H4" s="725"/>
      <c r="I4" s="725"/>
      <c r="J4" s="724" t="s">
        <v>6</v>
      </c>
      <c r="K4" s="725"/>
      <c r="L4" s="725"/>
      <c r="M4" s="725"/>
      <c r="N4" s="725"/>
      <c r="O4" s="259"/>
    </row>
    <row r="5" spans="1:15" x14ac:dyDescent="0.25">
      <c r="A5" s="724" t="s">
        <v>15</v>
      </c>
      <c r="B5" s="730" t="s">
        <v>311</v>
      </c>
      <c r="C5" s="725"/>
      <c r="D5" s="724" t="s">
        <v>12</v>
      </c>
      <c r="E5" s="725"/>
      <c r="F5" s="725"/>
      <c r="G5" s="725"/>
      <c r="H5" s="725"/>
      <c r="I5" s="725"/>
      <c r="J5" s="724" t="s">
        <v>8</v>
      </c>
      <c r="K5" s="725"/>
      <c r="L5" s="725"/>
      <c r="M5" s="724" t="s">
        <v>9</v>
      </c>
      <c r="N5" s="728">
        <f>N2*SU_06001_q</f>
        <v>2.7421973013526038</v>
      </c>
      <c r="O5" s="259"/>
    </row>
    <row r="6" spans="1:15" x14ac:dyDescent="0.25">
      <c r="A6" s="724" t="s">
        <v>7</v>
      </c>
      <c r="B6" s="725" t="s">
        <v>330</v>
      </c>
      <c r="C6" s="725"/>
      <c r="D6" s="725"/>
      <c r="E6" s="725"/>
      <c r="F6" s="725"/>
      <c r="G6" s="725"/>
      <c r="H6" s="725"/>
      <c r="I6" s="725"/>
      <c r="J6" s="724" t="s">
        <v>12</v>
      </c>
      <c r="K6" s="725"/>
      <c r="L6" s="725"/>
      <c r="M6" s="725"/>
      <c r="N6" s="725"/>
      <c r="O6" s="259"/>
    </row>
    <row r="7" spans="1:15" x14ac:dyDescent="0.25">
      <c r="A7" s="724" t="s">
        <v>10</v>
      </c>
      <c r="B7" s="16" t="s">
        <v>11</v>
      </c>
      <c r="C7" s="725"/>
      <c r="D7" s="725"/>
      <c r="E7" s="725"/>
      <c r="F7" s="725"/>
      <c r="G7" s="725"/>
      <c r="H7" s="725"/>
      <c r="I7" s="725"/>
      <c r="J7" s="725"/>
      <c r="K7" s="725"/>
      <c r="L7" s="725"/>
      <c r="M7" s="725"/>
      <c r="N7" s="725"/>
      <c r="O7" s="259"/>
    </row>
    <row r="8" spans="1:15" x14ac:dyDescent="0.25">
      <c r="A8" s="724" t="s">
        <v>13</v>
      </c>
      <c r="B8" s="16"/>
      <c r="C8" s="725"/>
      <c r="D8" s="725"/>
      <c r="E8" s="725"/>
      <c r="F8" s="725"/>
      <c r="G8" s="725"/>
      <c r="H8" s="725"/>
      <c r="I8" s="725"/>
      <c r="J8" s="725"/>
      <c r="K8" s="725"/>
      <c r="L8" s="725"/>
      <c r="M8" s="725"/>
      <c r="N8" s="725"/>
      <c r="O8" s="259"/>
    </row>
    <row r="9" spans="1:15" x14ac:dyDescent="0.25">
      <c r="A9" s="731"/>
      <c r="B9" s="725"/>
      <c r="C9" s="725"/>
      <c r="D9" s="725"/>
      <c r="E9" s="725"/>
      <c r="F9" s="725"/>
      <c r="G9" s="725"/>
      <c r="H9" s="725"/>
      <c r="I9" s="725"/>
      <c r="J9" s="725"/>
      <c r="K9" s="725"/>
      <c r="L9" s="725"/>
      <c r="M9" s="725"/>
      <c r="N9" s="725"/>
      <c r="O9" s="259"/>
    </row>
    <row r="10" spans="1:15" x14ac:dyDescent="0.25">
      <c r="A10" s="732" t="s">
        <v>14</v>
      </c>
      <c r="B10" s="733" t="s">
        <v>19</v>
      </c>
      <c r="C10" s="733" t="s">
        <v>20</v>
      </c>
      <c r="D10" s="733" t="s">
        <v>21</v>
      </c>
      <c r="E10" s="733" t="s">
        <v>22</v>
      </c>
      <c r="F10" s="733" t="s">
        <v>23</v>
      </c>
      <c r="G10" s="733" t="s">
        <v>24</v>
      </c>
      <c r="H10" s="733" t="s">
        <v>25</v>
      </c>
      <c r="I10" s="733" t="s">
        <v>26</v>
      </c>
      <c r="J10" s="733" t="s">
        <v>27</v>
      </c>
      <c r="K10" s="733" t="s">
        <v>28</v>
      </c>
      <c r="L10" s="733" t="s">
        <v>29</v>
      </c>
      <c r="M10" s="733" t="s">
        <v>17</v>
      </c>
      <c r="N10" s="733" t="s">
        <v>18</v>
      </c>
      <c r="O10" s="259"/>
    </row>
    <row r="11" spans="1:15" x14ac:dyDescent="0.25">
      <c r="A11" s="734">
        <v>10</v>
      </c>
      <c r="B11" s="735" t="s">
        <v>331</v>
      </c>
      <c r="C11" s="736" t="s">
        <v>332</v>
      </c>
      <c r="D11" s="737">
        <v>3.3</v>
      </c>
      <c r="E11" s="738">
        <f>J11*K11*L11</f>
        <v>1.3969288083727863E-2</v>
      </c>
      <c r="F11" s="736" t="s">
        <v>141</v>
      </c>
      <c r="G11" s="736"/>
      <c r="H11" s="739"/>
      <c r="I11" s="740" t="s">
        <v>333</v>
      </c>
      <c r="J11" s="740">
        <f>PI()*(7.5*10^-3)^2</f>
        <v>1.7671458676442585E-4</v>
      </c>
      <c r="K11" s="741">
        <v>9.2999999999999992E-3</v>
      </c>
      <c r="L11" s="742">
        <v>8500</v>
      </c>
      <c r="M11" s="742">
        <v>1</v>
      </c>
      <c r="N11" s="737">
        <f>D11*E11</f>
        <v>4.6098650676301943E-2</v>
      </c>
      <c r="O11" s="259"/>
    </row>
    <row r="12" spans="1:15" x14ac:dyDescent="0.25">
      <c r="A12" s="743"/>
      <c r="B12" s="744"/>
      <c r="C12" s="744"/>
      <c r="D12" s="744"/>
      <c r="E12" s="744"/>
      <c r="F12" s="744"/>
      <c r="G12" s="744"/>
      <c r="H12" s="744"/>
      <c r="I12" s="744"/>
      <c r="J12" s="744"/>
      <c r="K12" s="744"/>
      <c r="L12" s="744"/>
      <c r="M12" s="745" t="s">
        <v>18</v>
      </c>
      <c r="N12" s="746">
        <f>N11</f>
        <v>4.6098650676301943E-2</v>
      </c>
      <c r="O12" s="259"/>
    </row>
    <row r="13" spans="1:15" x14ac:dyDescent="0.25">
      <c r="A13" s="731"/>
      <c r="B13" s="725"/>
      <c r="C13" s="725"/>
      <c r="D13" s="725"/>
      <c r="E13" s="725"/>
      <c r="F13" s="725"/>
      <c r="G13" s="725"/>
      <c r="H13" s="725"/>
      <c r="I13" s="725"/>
      <c r="J13" s="725"/>
      <c r="K13" s="725"/>
      <c r="L13" s="725"/>
      <c r="M13" s="725"/>
      <c r="N13" s="725"/>
      <c r="O13" s="259"/>
    </row>
    <row r="14" spans="1:15" x14ac:dyDescent="0.25">
      <c r="A14" s="732" t="s">
        <v>14</v>
      </c>
      <c r="B14" s="733" t="s">
        <v>31</v>
      </c>
      <c r="C14" s="733" t="s">
        <v>20</v>
      </c>
      <c r="D14" s="733" t="s">
        <v>21</v>
      </c>
      <c r="E14" s="733" t="s">
        <v>32</v>
      </c>
      <c r="F14" s="733" t="s">
        <v>17</v>
      </c>
      <c r="G14" s="733" t="s">
        <v>33</v>
      </c>
      <c r="H14" s="733" t="s">
        <v>34</v>
      </c>
      <c r="I14" s="733" t="s">
        <v>18</v>
      </c>
      <c r="J14" s="744"/>
      <c r="K14" s="744"/>
      <c r="L14" s="744"/>
      <c r="M14" s="744"/>
      <c r="N14" s="744"/>
      <c r="O14" s="259"/>
    </row>
    <row r="15" spans="1:15" x14ac:dyDescent="0.25">
      <c r="A15" s="734">
        <v>10</v>
      </c>
      <c r="B15" s="736" t="s">
        <v>39</v>
      </c>
      <c r="C15" s="736"/>
      <c r="D15" s="737">
        <v>1.3</v>
      </c>
      <c r="E15" s="736" t="s">
        <v>35</v>
      </c>
      <c r="F15" s="736">
        <v>1</v>
      </c>
      <c r="G15" s="736"/>
      <c r="H15" s="736"/>
      <c r="I15" s="737">
        <v>1.3</v>
      </c>
      <c r="J15" s="725"/>
      <c r="K15" s="725"/>
      <c r="L15" s="725"/>
      <c r="M15" s="725"/>
      <c r="N15" s="725"/>
      <c r="O15" s="259"/>
    </row>
    <row r="16" spans="1:15" x14ac:dyDescent="0.25">
      <c r="A16" s="734">
        <v>20</v>
      </c>
      <c r="B16" s="736" t="s">
        <v>334</v>
      </c>
      <c r="C16" s="736" t="s">
        <v>335</v>
      </c>
      <c r="D16" s="737">
        <v>0.04</v>
      </c>
      <c r="E16" s="736" t="s">
        <v>93</v>
      </c>
      <c r="F16" s="736">
        <v>1.25</v>
      </c>
      <c r="G16" s="736" t="s">
        <v>336</v>
      </c>
      <c r="H16" s="736">
        <v>0.5</v>
      </c>
      <c r="I16" s="737">
        <f>D16*F16*H16</f>
        <v>2.5000000000000001E-2</v>
      </c>
      <c r="J16" s="725"/>
      <c r="K16" s="725"/>
      <c r="L16" s="725"/>
      <c r="M16" s="725"/>
      <c r="N16" s="725"/>
      <c r="O16" s="259"/>
    </row>
    <row r="17" spans="1:15" x14ac:dyDescent="0.25">
      <c r="A17" s="743"/>
      <c r="B17" s="744"/>
      <c r="C17" s="744"/>
      <c r="D17" s="744"/>
      <c r="E17" s="744"/>
      <c r="F17" s="744"/>
      <c r="G17" s="744"/>
      <c r="H17" s="745" t="s">
        <v>18</v>
      </c>
      <c r="I17" s="747">
        <f>I15+I16</f>
        <v>1.325</v>
      </c>
      <c r="J17" s="744"/>
      <c r="K17" s="744"/>
      <c r="L17" s="744"/>
      <c r="M17" s="744"/>
      <c r="N17" s="744"/>
      <c r="O17" s="259"/>
    </row>
    <row r="18" spans="1:15" x14ac:dyDescent="0.25">
      <c r="A18" s="731"/>
      <c r="B18" s="725"/>
      <c r="C18" s="725"/>
      <c r="D18" s="725"/>
      <c r="E18" s="725"/>
      <c r="F18" s="725"/>
      <c r="G18" s="725"/>
      <c r="H18" s="727"/>
      <c r="I18" s="728"/>
      <c r="J18" s="725"/>
      <c r="K18" s="725"/>
      <c r="L18" s="725"/>
      <c r="M18" s="725"/>
      <c r="N18" s="725"/>
      <c r="O18" s="259"/>
    </row>
    <row r="19" spans="1:15" x14ac:dyDescent="0.25">
      <c r="A19" s="731"/>
      <c r="B19" s="725"/>
      <c r="C19" s="725"/>
      <c r="D19" s="725"/>
      <c r="E19" s="725"/>
      <c r="F19" s="725"/>
      <c r="G19" s="725"/>
      <c r="H19" s="725"/>
      <c r="I19" s="725"/>
      <c r="J19" s="725"/>
      <c r="K19" s="725"/>
      <c r="L19" s="725"/>
      <c r="M19" s="725"/>
      <c r="N19" s="725"/>
      <c r="O19" s="259"/>
    </row>
    <row r="20" spans="1:15" x14ac:dyDescent="0.25">
      <c r="A20" s="731"/>
      <c r="B20" s="725"/>
      <c r="C20" s="725"/>
      <c r="D20" s="725"/>
      <c r="E20" s="725"/>
      <c r="F20" s="725"/>
      <c r="G20" s="725"/>
      <c r="H20" s="725"/>
      <c r="I20" s="725"/>
      <c r="J20" s="725"/>
      <c r="K20" s="725"/>
      <c r="L20" s="725"/>
      <c r="M20" s="725"/>
      <c r="N20" s="725"/>
      <c r="O20" s="259"/>
    </row>
    <row r="21" spans="1:15" x14ac:dyDescent="0.25">
      <c r="A21" s="731"/>
      <c r="B21" s="725"/>
      <c r="C21" s="725"/>
      <c r="D21" s="725"/>
      <c r="E21" s="725"/>
      <c r="F21" s="725"/>
      <c r="G21" s="725"/>
      <c r="H21" s="725"/>
      <c r="I21" s="725"/>
      <c r="J21" s="725"/>
      <c r="K21" s="725"/>
      <c r="L21" s="725"/>
      <c r="M21" s="725"/>
      <c r="N21" s="725"/>
      <c r="O21" s="259"/>
    </row>
    <row r="22" spans="1:15" ht="15.75" thickBot="1" x14ac:dyDescent="0.3">
      <c r="A22" s="748"/>
      <c r="B22" s="749"/>
      <c r="C22" s="749"/>
      <c r="D22" s="749"/>
      <c r="E22" s="749"/>
      <c r="F22" s="749"/>
      <c r="G22" s="749"/>
      <c r="H22" s="749"/>
      <c r="I22" s="749"/>
      <c r="J22" s="749"/>
      <c r="K22" s="749"/>
      <c r="L22" s="749"/>
      <c r="M22" s="749"/>
      <c r="N22" s="749"/>
      <c r="O22" s="281"/>
    </row>
    <row r="23" spans="1:15" x14ac:dyDescent="0.25">
      <c r="A23" s="16"/>
      <c r="B23" s="750"/>
      <c r="C23" s="750"/>
      <c r="D23" s="750"/>
      <c r="E23" s="750"/>
      <c r="F23" s="750"/>
      <c r="G23" s="750"/>
      <c r="H23" s="750"/>
      <c r="I23" s="750"/>
      <c r="J23" s="750"/>
      <c r="K23" s="750"/>
      <c r="L23" s="750"/>
      <c r="M23" s="750"/>
      <c r="N23" s="750"/>
    </row>
    <row r="24" spans="1:15" x14ac:dyDescent="0.25">
      <c r="A24" s="16"/>
      <c r="B24" s="750"/>
      <c r="C24" s="750"/>
      <c r="D24" s="750"/>
      <c r="E24" s="750"/>
      <c r="F24" s="750"/>
      <c r="G24" s="750"/>
      <c r="H24" s="750"/>
      <c r="I24" s="750"/>
      <c r="J24" s="750"/>
      <c r="K24" s="750"/>
      <c r="L24" s="750"/>
      <c r="M24" s="750"/>
      <c r="N24" s="750"/>
    </row>
    <row r="25" spans="1:15" x14ac:dyDescent="0.25">
      <c r="A25" s="87"/>
      <c r="B25" s="750"/>
      <c r="C25" s="750"/>
      <c r="D25" s="750"/>
      <c r="E25" s="750"/>
      <c r="F25" s="750"/>
      <c r="G25" s="750"/>
      <c r="H25" s="750"/>
      <c r="I25" s="750"/>
      <c r="J25" s="750"/>
      <c r="K25" s="750"/>
      <c r="L25" s="750"/>
      <c r="M25" s="750"/>
      <c r="N25" s="750"/>
    </row>
    <row r="26" spans="1:15" x14ac:dyDescent="0.25">
      <c r="A26" s="18"/>
      <c r="B26" s="750"/>
      <c r="C26" s="750"/>
      <c r="D26" s="750"/>
      <c r="E26" s="750"/>
      <c r="F26" s="750"/>
      <c r="G26" s="750"/>
      <c r="H26" s="750"/>
      <c r="I26" s="750"/>
      <c r="J26" s="750"/>
      <c r="K26" s="750"/>
      <c r="L26" s="750"/>
      <c r="M26" s="750"/>
      <c r="N26" s="750"/>
    </row>
    <row r="27" spans="1:15" x14ac:dyDescent="0.25">
      <c r="A27" s="28"/>
      <c r="B27" s="750"/>
      <c r="C27" s="750"/>
      <c r="D27" s="750"/>
      <c r="E27" s="750"/>
      <c r="F27" s="750"/>
      <c r="G27" s="750"/>
      <c r="H27" s="750"/>
      <c r="I27" s="750"/>
      <c r="J27" s="750"/>
      <c r="K27" s="750"/>
      <c r="L27" s="750"/>
      <c r="M27" s="750"/>
      <c r="N27" s="750"/>
    </row>
    <row r="28" spans="1:15" x14ac:dyDescent="0.25">
      <c r="A28" s="16"/>
      <c r="B28" s="750"/>
      <c r="C28" s="750"/>
      <c r="D28" s="750"/>
      <c r="E28" s="750"/>
      <c r="F28" s="750"/>
      <c r="G28" s="750"/>
      <c r="H28" s="750"/>
      <c r="I28" s="750"/>
      <c r="J28" s="750"/>
      <c r="K28" s="750"/>
      <c r="L28" s="750"/>
      <c r="M28" s="750"/>
      <c r="N28" s="750"/>
    </row>
    <row r="29" spans="1:15" x14ac:dyDescent="0.25">
      <c r="A29" s="16"/>
      <c r="B29" s="750"/>
      <c r="C29" s="750"/>
      <c r="D29" s="750"/>
      <c r="E29" s="750"/>
      <c r="F29" s="750"/>
      <c r="G29" s="750"/>
      <c r="H29" s="750"/>
      <c r="I29" s="750"/>
      <c r="J29" s="750"/>
      <c r="K29" s="750"/>
      <c r="L29" s="750"/>
      <c r="M29" s="750"/>
      <c r="N29" s="750"/>
    </row>
    <row r="30" spans="1:15" x14ac:dyDescent="0.25">
      <c r="A30" s="750"/>
      <c r="B30" s="750"/>
      <c r="C30" s="750"/>
      <c r="D30" s="750"/>
      <c r="E30" s="750"/>
      <c r="F30" s="750"/>
      <c r="G30" s="750"/>
      <c r="H30" s="750"/>
      <c r="I30" s="750"/>
      <c r="J30" s="750"/>
      <c r="K30" s="750"/>
      <c r="L30" s="750"/>
      <c r="M30" s="750"/>
      <c r="N30" s="750"/>
    </row>
    <row r="31" spans="1:15" x14ac:dyDescent="0.25">
      <c r="A31" s="750"/>
      <c r="B31" s="750"/>
      <c r="C31" s="750"/>
      <c r="D31" s="750"/>
      <c r="E31" s="750"/>
      <c r="F31" s="750"/>
      <c r="G31" s="750"/>
      <c r="H31" s="750"/>
      <c r="I31" s="750"/>
      <c r="J31" s="750"/>
      <c r="K31" s="750"/>
      <c r="L31" s="750"/>
      <c r="M31" s="750"/>
      <c r="N31" s="750"/>
    </row>
    <row r="32" spans="1:15" x14ac:dyDescent="0.25">
      <c r="A32" s="750"/>
      <c r="B32" s="750"/>
      <c r="C32" s="750"/>
      <c r="D32" s="750"/>
      <c r="E32" s="750"/>
      <c r="F32" s="750"/>
      <c r="G32" s="750"/>
      <c r="H32" s="750"/>
      <c r="I32" s="750"/>
      <c r="J32" s="750"/>
      <c r="K32" s="750"/>
      <c r="L32" s="750"/>
      <c r="M32" s="750"/>
      <c r="N32" s="750"/>
    </row>
    <row r="33" spans="1:14" x14ac:dyDescent="0.25">
      <c r="A33" s="750"/>
      <c r="B33" s="750"/>
      <c r="C33" s="750"/>
      <c r="D33" s="750"/>
      <c r="E33" s="750"/>
      <c r="F33" s="750"/>
      <c r="G33" s="750"/>
      <c r="H33" s="750"/>
      <c r="I33" s="750"/>
      <c r="J33" s="750"/>
      <c r="K33" s="750"/>
      <c r="L33" s="750"/>
      <c r="M33" s="750"/>
      <c r="N33" s="750"/>
    </row>
    <row r="34" spans="1:14" x14ac:dyDescent="0.25">
      <c r="A34" s="750"/>
      <c r="B34" s="750"/>
      <c r="C34" s="750"/>
      <c r="D34" s="750"/>
      <c r="E34" s="750"/>
      <c r="F34" s="750"/>
      <c r="G34" s="750"/>
      <c r="H34" s="750"/>
      <c r="I34" s="750"/>
      <c r="J34" s="750"/>
      <c r="K34" s="750"/>
      <c r="L34" s="750"/>
      <c r="M34" s="750"/>
      <c r="N34" s="750"/>
    </row>
    <row r="35" spans="1:14" x14ac:dyDescent="0.25">
      <c r="A35" s="750"/>
      <c r="B35" s="750"/>
      <c r="C35" s="750"/>
      <c r="D35" s="750"/>
      <c r="E35" s="750"/>
      <c r="F35" s="750"/>
      <c r="G35" s="750"/>
      <c r="H35" s="750"/>
      <c r="I35" s="750"/>
      <c r="J35" s="750"/>
      <c r="K35" s="750"/>
      <c r="L35" s="750"/>
      <c r="M35" s="750"/>
      <c r="N35" s="750"/>
    </row>
    <row r="36" spans="1:14" x14ac:dyDescent="0.25">
      <c r="A36" s="750"/>
      <c r="B36" s="750"/>
      <c r="C36" s="750"/>
      <c r="D36" s="750"/>
      <c r="E36" s="750"/>
      <c r="F36" s="750"/>
      <c r="G36" s="750"/>
      <c r="H36" s="750"/>
      <c r="I36" s="750"/>
      <c r="J36" s="750"/>
      <c r="K36" s="750"/>
      <c r="L36" s="750"/>
      <c r="M36" s="750"/>
      <c r="N36" s="750"/>
    </row>
    <row r="37" spans="1:14" x14ac:dyDescent="0.25">
      <c r="A37" s="750"/>
      <c r="B37" s="750"/>
      <c r="C37" s="750"/>
      <c r="D37" s="750"/>
      <c r="E37" s="750"/>
      <c r="F37" s="750"/>
      <c r="G37" s="750"/>
      <c r="H37" s="750"/>
      <c r="I37" s="750"/>
      <c r="J37" s="750"/>
      <c r="K37" s="750"/>
      <c r="L37" s="750"/>
      <c r="M37" s="750"/>
      <c r="N37" s="750"/>
    </row>
    <row r="38" spans="1:14" x14ac:dyDescent="0.25">
      <c r="A38" s="750"/>
      <c r="B38" s="750"/>
      <c r="C38" s="750"/>
      <c r="D38" s="750"/>
      <c r="E38" s="750"/>
      <c r="F38" s="750"/>
      <c r="G38" s="750"/>
      <c r="H38" s="750"/>
      <c r="I38" s="750"/>
      <c r="J38" s="750"/>
      <c r="K38" s="750"/>
      <c r="L38" s="750"/>
      <c r="M38" s="750"/>
      <c r="N38" s="750"/>
    </row>
    <row r="39" spans="1:14" x14ac:dyDescent="0.25">
      <c r="A39" s="750"/>
      <c r="B39" s="750"/>
      <c r="C39" s="750"/>
      <c r="D39" s="750"/>
      <c r="E39" s="750"/>
      <c r="F39" s="750"/>
      <c r="G39" s="750"/>
      <c r="H39" s="750"/>
      <c r="I39" s="750"/>
      <c r="J39" s="750"/>
      <c r="K39" s="750"/>
      <c r="L39" s="750"/>
      <c r="M39" s="750"/>
      <c r="N39" s="750"/>
    </row>
    <row r="40" spans="1:14" x14ac:dyDescent="0.25">
      <c r="A40" s="750"/>
      <c r="B40" s="750"/>
      <c r="C40" s="750"/>
      <c r="D40" s="750"/>
      <c r="E40" s="750"/>
      <c r="F40" s="750"/>
      <c r="G40" s="750"/>
      <c r="H40" s="750"/>
      <c r="I40" s="750"/>
      <c r="J40" s="750"/>
      <c r="K40" s="750"/>
      <c r="L40" s="750"/>
      <c r="M40" s="750"/>
      <c r="N40" s="750"/>
    </row>
    <row r="41" spans="1:14" x14ac:dyDescent="0.25">
      <c r="A41" s="750"/>
      <c r="B41" s="750"/>
      <c r="C41" s="750"/>
      <c r="D41" s="750"/>
      <c r="E41" s="750"/>
      <c r="F41" s="750"/>
      <c r="G41" s="750"/>
      <c r="H41" s="750"/>
      <c r="I41" s="750"/>
      <c r="J41" s="750"/>
      <c r="K41" s="750"/>
      <c r="L41" s="750"/>
      <c r="M41" s="750"/>
      <c r="N41" s="750"/>
    </row>
    <row r="42" spans="1:14" x14ac:dyDescent="0.25">
      <c r="A42" s="750"/>
      <c r="B42" s="750"/>
      <c r="C42" s="750"/>
      <c r="D42" s="750"/>
      <c r="E42" s="750"/>
      <c r="F42" s="750"/>
      <c r="G42" s="750"/>
      <c r="H42" s="750"/>
      <c r="I42" s="750"/>
      <c r="J42" s="750"/>
      <c r="K42" s="750"/>
      <c r="L42" s="750"/>
      <c r="M42" s="750"/>
      <c r="N42" s="750"/>
    </row>
    <row r="43" spans="1:14" x14ac:dyDescent="0.25">
      <c r="A43" s="750"/>
      <c r="B43" s="750"/>
      <c r="C43" s="750"/>
      <c r="D43" s="750"/>
      <c r="E43" s="750"/>
      <c r="F43" s="750"/>
      <c r="G43" s="750"/>
      <c r="H43" s="750"/>
      <c r="I43" s="750"/>
      <c r="J43" s="750"/>
      <c r="K43" s="750"/>
      <c r="L43" s="750"/>
      <c r="M43" s="750"/>
      <c r="N43" s="750"/>
    </row>
    <row r="44" spans="1:14" x14ac:dyDescent="0.25">
      <c r="A44" s="750"/>
      <c r="B44" s="750"/>
      <c r="C44" s="750"/>
      <c r="D44" s="750"/>
      <c r="E44" s="750"/>
      <c r="F44" s="750"/>
      <c r="G44" s="750"/>
      <c r="H44" s="750"/>
      <c r="I44" s="750"/>
      <c r="J44" s="750"/>
      <c r="K44" s="750"/>
      <c r="L44" s="750"/>
      <c r="M44" s="750"/>
      <c r="N44" s="750"/>
    </row>
    <row r="45" spans="1:14" x14ac:dyDescent="0.25">
      <c r="A45" s="750"/>
      <c r="B45" s="750"/>
      <c r="C45" s="750"/>
      <c r="D45" s="750"/>
      <c r="E45" s="750"/>
      <c r="F45" s="750"/>
      <c r="G45" s="750"/>
      <c r="H45" s="750"/>
      <c r="I45" s="750"/>
      <c r="J45" s="750"/>
      <c r="K45" s="750"/>
      <c r="L45" s="750"/>
      <c r="M45" s="750"/>
      <c r="N45" s="750"/>
    </row>
    <row r="46" spans="1:14" x14ac:dyDescent="0.25">
      <c r="A46" s="750"/>
      <c r="B46" s="750"/>
      <c r="C46" s="750"/>
      <c r="D46" s="750"/>
      <c r="E46" s="750"/>
      <c r="F46" s="750"/>
      <c r="G46" s="750"/>
      <c r="H46" s="750"/>
      <c r="I46" s="750"/>
      <c r="J46" s="750"/>
      <c r="K46" s="750"/>
      <c r="L46" s="750"/>
      <c r="M46" s="750"/>
      <c r="N46" s="750"/>
    </row>
    <row r="47" spans="1:14" x14ac:dyDescent="0.25">
      <c r="A47" s="750"/>
      <c r="B47" s="750"/>
      <c r="C47" s="750"/>
      <c r="D47" s="750"/>
      <c r="E47" s="750"/>
      <c r="F47" s="750"/>
      <c r="G47" s="750"/>
      <c r="H47" s="750"/>
      <c r="I47" s="750"/>
      <c r="J47" s="750"/>
      <c r="K47" s="750"/>
      <c r="L47" s="750"/>
      <c r="M47" s="750"/>
      <c r="N47" s="750"/>
    </row>
    <row r="48" spans="1:14" x14ac:dyDescent="0.25">
      <c r="A48" s="750"/>
      <c r="B48" s="750"/>
      <c r="C48" s="750"/>
      <c r="D48" s="750"/>
      <c r="E48" s="750"/>
      <c r="F48" s="750"/>
      <c r="G48" s="750"/>
      <c r="H48" s="750"/>
      <c r="I48" s="750"/>
      <c r="J48" s="750"/>
      <c r="K48" s="750"/>
      <c r="L48" s="750"/>
      <c r="M48" s="750"/>
      <c r="N48" s="750"/>
    </row>
    <row r="49" spans="1:14" x14ac:dyDescent="0.25">
      <c r="A49" s="750"/>
      <c r="B49" s="750"/>
      <c r="C49" s="750"/>
      <c r="D49" s="750"/>
      <c r="E49" s="750"/>
      <c r="F49" s="750"/>
      <c r="G49" s="750"/>
      <c r="H49" s="750"/>
      <c r="I49" s="750"/>
      <c r="J49" s="750"/>
      <c r="K49" s="750"/>
      <c r="L49" s="750"/>
      <c r="M49" s="750"/>
      <c r="N49" s="750"/>
    </row>
    <row r="50" spans="1:14" x14ac:dyDescent="0.25">
      <c r="A50" s="750"/>
      <c r="B50" s="750"/>
      <c r="C50" s="750"/>
      <c r="D50" s="750"/>
      <c r="E50" s="750"/>
      <c r="F50" s="750"/>
      <c r="G50" s="750"/>
      <c r="H50" s="750"/>
      <c r="I50" s="750"/>
      <c r="J50" s="750"/>
      <c r="K50" s="750"/>
      <c r="L50" s="750"/>
      <c r="M50" s="750"/>
      <c r="N50" s="750"/>
    </row>
    <row r="51" spans="1:14" x14ac:dyDescent="0.25">
      <c r="A51" s="750"/>
      <c r="B51" s="750"/>
      <c r="C51" s="750"/>
      <c r="D51" s="750"/>
      <c r="E51" s="750"/>
      <c r="F51" s="750"/>
      <c r="G51" s="750"/>
      <c r="H51" s="750"/>
      <c r="I51" s="750"/>
      <c r="J51" s="750"/>
      <c r="K51" s="750"/>
      <c r="L51" s="750"/>
      <c r="M51" s="750"/>
      <c r="N51" s="750"/>
    </row>
    <row r="52" spans="1:14" x14ac:dyDescent="0.25">
      <c r="A52" s="750"/>
      <c r="B52" s="750"/>
      <c r="C52" s="750"/>
      <c r="D52" s="750"/>
      <c r="E52" s="750"/>
      <c r="F52" s="750"/>
      <c r="G52" s="750"/>
      <c r="H52" s="750"/>
      <c r="I52" s="750"/>
      <c r="J52" s="750"/>
      <c r="K52" s="750"/>
      <c r="L52" s="750"/>
      <c r="M52" s="750"/>
      <c r="N52" s="750"/>
    </row>
    <row r="53" spans="1:14" x14ac:dyDescent="0.25">
      <c r="A53" s="750"/>
      <c r="B53" s="750"/>
      <c r="C53" s="750"/>
      <c r="D53" s="750"/>
      <c r="E53" s="750"/>
      <c r="F53" s="750"/>
      <c r="G53" s="750"/>
      <c r="H53" s="750"/>
      <c r="I53" s="750"/>
      <c r="J53" s="750"/>
      <c r="K53" s="750"/>
      <c r="L53" s="750"/>
      <c r="M53" s="750"/>
      <c r="N53" s="750"/>
    </row>
    <row r="54" spans="1:14" x14ac:dyDescent="0.25">
      <c r="A54" s="750"/>
      <c r="B54" s="750"/>
      <c r="C54" s="750"/>
      <c r="D54" s="750"/>
      <c r="E54" s="750"/>
      <c r="F54" s="750"/>
      <c r="G54" s="750"/>
      <c r="H54" s="750"/>
      <c r="I54" s="750"/>
      <c r="J54" s="750"/>
      <c r="K54" s="750"/>
      <c r="L54" s="750"/>
      <c r="M54" s="750"/>
      <c r="N54" s="750"/>
    </row>
    <row r="55" spans="1:14" x14ac:dyDescent="0.25">
      <c r="A55" s="750"/>
      <c r="B55" s="750"/>
      <c r="C55" s="750"/>
      <c r="D55" s="750"/>
      <c r="E55" s="750"/>
      <c r="F55" s="750"/>
      <c r="G55" s="750"/>
      <c r="H55" s="750"/>
      <c r="I55" s="750"/>
      <c r="J55" s="750"/>
      <c r="K55" s="750"/>
      <c r="L55" s="750"/>
      <c r="M55" s="750"/>
      <c r="N55" s="750"/>
    </row>
    <row r="56" spans="1:14" x14ac:dyDescent="0.25">
      <c r="A56" s="750"/>
      <c r="B56" s="750"/>
      <c r="C56" s="750"/>
      <c r="D56" s="750"/>
      <c r="E56" s="750"/>
      <c r="F56" s="750"/>
      <c r="G56" s="750"/>
      <c r="H56" s="750"/>
      <c r="I56" s="750"/>
      <c r="J56" s="750"/>
      <c r="K56" s="750"/>
      <c r="L56" s="750"/>
      <c r="M56" s="750"/>
      <c r="N56" s="750"/>
    </row>
    <row r="57" spans="1:14" x14ac:dyDescent="0.25">
      <c r="A57" s="750"/>
      <c r="B57" s="750"/>
      <c r="C57" s="750"/>
      <c r="D57" s="750"/>
      <c r="E57" s="750"/>
      <c r="F57" s="750"/>
      <c r="G57" s="750"/>
      <c r="H57" s="750"/>
      <c r="I57" s="750"/>
      <c r="J57" s="750"/>
      <c r="K57" s="750"/>
      <c r="L57" s="750"/>
      <c r="M57" s="750"/>
      <c r="N57" s="750"/>
    </row>
    <row r="58" spans="1:14" x14ac:dyDescent="0.25">
      <c r="A58" s="750"/>
      <c r="B58" s="750"/>
      <c r="C58" s="750"/>
      <c r="D58" s="750"/>
      <c r="E58" s="750"/>
      <c r="F58" s="750"/>
      <c r="G58" s="750"/>
      <c r="H58" s="750"/>
      <c r="I58" s="750"/>
      <c r="J58" s="750"/>
      <c r="K58" s="750"/>
      <c r="L58" s="750"/>
      <c r="M58" s="750"/>
      <c r="N58" s="750"/>
    </row>
    <row r="59" spans="1:14" x14ac:dyDescent="0.25">
      <c r="A59" s="750"/>
      <c r="B59" s="750"/>
      <c r="C59" s="750"/>
      <c r="D59" s="750"/>
      <c r="E59" s="750"/>
      <c r="F59" s="750"/>
      <c r="G59" s="750"/>
      <c r="H59" s="750"/>
      <c r="I59" s="750"/>
      <c r="J59" s="750"/>
      <c r="K59" s="750"/>
      <c r="L59" s="750"/>
      <c r="M59" s="750"/>
      <c r="N59" s="750"/>
    </row>
    <row r="60" spans="1:14" x14ac:dyDescent="0.25">
      <c r="A60" s="750"/>
      <c r="B60" s="750"/>
      <c r="C60" s="750"/>
      <c r="D60" s="750"/>
      <c r="E60" s="750"/>
      <c r="F60" s="750"/>
      <c r="G60" s="750"/>
      <c r="H60" s="750"/>
      <c r="I60" s="750"/>
      <c r="J60" s="750"/>
      <c r="K60" s="750"/>
      <c r="L60" s="750"/>
      <c r="M60" s="750"/>
      <c r="N60" s="750"/>
    </row>
    <row r="61" spans="1:14" x14ac:dyDescent="0.25">
      <c r="A61" s="750"/>
      <c r="B61" s="750"/>
      <c r="C61" s="750"/>
      <c r="D61" s="750"/>
      <c r="E61" s="750"/>
      <c r="F61" s="750"/>
      <c r="G61" s="750"/>
      <c r="H61" s="750"/>
      <c r="I61" s="750"/>
      <c r="J61" s="750"/>
      <c r="K61" s="750"/>
      <c r="L61" s="750"/>
      <c r="M61" s="750"/>
      <c r="N61" s="750"/>
    </row>
    <row r="62" spans="1:14" x14ac:dyDescent="0.25">
      <c r="A62" s="750"/>
      <c r="B62" s="750"/>
      <c r="C62" s="750"/>
      <c r="D62" s="750"/>
      <c r="E62" s="750"/>
      <c r="F62" s="750"/>
      <c r="G62" s="750"/>
      <c r="H62" s="750"/>
      <c r="I62" s="750"/>
      <c r="J62" s="750"/>
      <c r="K62" s="750"/>
      <c r="L62" s="750"/>
      <c r="M62" s="750"/>
      <c r="N62" s="750"/>
    </row>
    <row r="63" spans="1:14" x14ac:dyDescent="0.25">
      <c r="A63" s="750"/>
      <c r="B63" s="750"/>
      <c r="C63" s="750"/>
      <c r="D63" s="750"/>
      <c r="E63" s="750"/>
      <c r="F63" s="750"/>
      <c r="G63" s="750"/>
      <c r="H63" s="750"/>
      <c r="I63" s="750"/>
      <c r="J63" s="750"/>
      <c r="K63" s="750"/>
      <c r="L63" s="750"/>
      <c r="M63" s="750"/>
      <c r="N63" s="750"/>
    </row>
    <row r="64" spans="1:14" x14ac:dyDescent="0.25">
      <c r="A64" s="750"/>
      <c r="B64" s="750"/>
      <c r="C64" s="750"/>
      <c r="D64" s="750"/>
      <c r="E64" s="750"/>
      <c r="F64" s="750"/>
      <c r="G64" s="750"/>
      <c r="H64" s="750"/>
      <c r="I64" s="750"/>
      <c r="J64" s="750"/>
      <c r="K64" s="750"/>
      <c r="L64" s="750"/>
      <c r="M64" s="750"/>
      <c r="N64" s="750"/>
    </row>
    <row r="65" spans="1:14" x14ac:dyDescent="0.25">
      <c r="A65" s="750"/>
      <c r="B65" s="750"/>
      <c r="C65" s="750"/>
      <c r="D65" s="750"/>
      <c r="E65" s="750"/>
      <c r="F65" s="750"/>
      <c r="G65" s="750"/>
      <c r="H65" s="750"/>
      <c r="I65" s="750"/>
      <c r="J65" s="750"/>
      <c r="K65" s="750"/>
      <c r="L65" s="750"/>
      <c r="M65" s="750"/>
      <c r="N65" s="750"/>
    </row>
    <row r="66" spans="1:14" x14ac:dyDescent="0.25">
      <c r="A66" s="750"/>
      <c r="B66" s="750"/>
      <c r="C66" s="750"/>
      <c r="D66" s="750"/>
      <c r="E66" s="750"/>
      <c r="F66" s="750"/>
      <c r="G66" s="750"/>
      <c r="H66" s="750"/>
      <c r="I66" s="750"/>
      <c r="J66" s="750"/>
      <c r="K66" s="750"/>
      <c r="L66" s="750"/>
      <c r="M66" s="750"/>
      <c r="N66" s="750"/>
    </row>
    <row r="67" spans="1:14" x14ac:dyDescent="0.25">
      <c r="A67" s="750"/>
      <c r="B67" s="750"/>
      <c r="C67" s="750"/>
      <c r="D67" s="750"/>
      <c r="E67" s="750"/>
      <c r="F67" s="750"/>
      <c r="G67" s="750"/>
      <c r="H67" s="750"/>
      <c r="I67" s="750"/>
      <c r="J67" s="750"/>
      <c r="K67" s="750"/>
      <c r="L67" s="750"/>
      <c r="M67" s="750"/>
      <c r="N67" s="750"/>
    </row>
    <row r="68" spans="1:14" x14ac:dyDescent="0.25">
      <c r="A68" s="750"/>
      <c r="B68" s="750"/>
      <c r="C68" s="750"/>
      <c r="D68" s="750"/>
      <c r="E68" s="750"/>
      <c r="F68" s="750"/>
      <c r="G68" s="750"/>
      <c r="H68" s="750"/>
      <c r="I68" s="750"/>
      <c r="J68" s="750"/>
      <c r="K68" s="750"/>
      <c r="L68" s="750"/>
      <c r="M68" s="750"/>
      <c r="N68" s="750"/>
    </row>
    <row r="69" spans="1:14" x14ac:dyDescent="0.25">
      <c r="A69" s="750"/>
      <c r="B69" s="750"/>
      <c r="C69" s="750"/>
      <c r="D69" s="750"/>
      <c r="E69" s="750"/>
      <c r="F69" s="750"/>
      <c r="G69" s="750"/>
      <c r="H69" s="750"/>
      <c r="I69" s="750"/>
      <c r="J69" s="750"/>
      <c r="K69" s="750"/>
      <c r="L69" s="750"/>
      <c r="M69" s="750"/>
      <c r="N69" s="750"/>
    </row>
    <row r="70" spans="1:14" x14ac:dyDescent="0.25">
      <c r="A70" s="750"/>
      <c r="B70" s="750"/>
      <c r="C70" s="750"/>
      <c r="D70" s="750"/>
      <c r="E70" s="750"/>
      <c r="F70" s="750"/>
      <c r="G70" s="750"/>
      <c r="H70" s="750"/>
      <c r="I70" s="750"/>
      <c r="J70" s="750"/>
      <c r="K70" s="750"/>
      <c r="L70" s="750"/>
      <c r="M70" s="750"/>
      <c r="N70" s="750"/>
    </row>
    <row r="71" spans="1:14" x14ac:dyDescent="0.25">
      <c r="A71" s="750"/>
      <c r="B71" s="750"/>
      <c r="C71" s="750"/>
      <c r="D71" s="750"/>
      <c r="E71" s="750"/>
      <c r="F71" s="750"/>
      <c r="G71" s="750"/>
      <c r="H71" s="750"/>
      <c r="I71" s="750"/>
      <c r="J71" s="750"/>
      <c r="K71" s="750"/>
      <c r="L71" s="750"/>
      <c r="M71" s="750"/>
      <c r="N71" s="750"/>
    </row>
    <row r="72" spans="1:14" x14ac:dyDescent="0.25">
      <c r="A72" s="750"/>
      <c r="B72" s="750"/>
      <c r="C72" s="750"/>
      <c r="D72" s="750"/>
      <c r="E72" s="750"/>
      <c r="F72" s="750"/>
      <c r="G72" s="750"/>
      <c r="H72" s="750"/>
      <c r="I72" s="750"/>
      <c r="J72" s="750"/>
      <c r="K72" s="750"/>
      <c r="L72" s="750"/>
      <c r="M72" s="750"/>
      <c r="N72" s="750"/>
    </row>
    <row r="73" spans="1:14" x14ac:dyDescent="0.25">
      <c r="A73" s="750"/>
      <c r="B73" s="750"/>
      <c r="C73" s="750"/>
      <c r="D73" s="750"/>
      <c r="E73" s="750"/>
      <c r="F73" s="750"/>
      <c r="G73" s="750"/>
      <c r="H73" s="750"/>
      <c r="I73" s="750"/>
      <c r="J73" s="750"/>
      <c r="K73" s="750"/>
      <c r="L73" s="750"/>
      <c r="M73" s="750"/>
      <c r="N73" s="750"/>
    </row>
    <row r="74" spans="1:14" x14ac:dyDescent="0.25">
      <c r="A74" s="750"/>
      <c r="B74" s="750"/>
      <c r="C74" s="750"/>
      <c r="D74" s="750"/>
      <c r="E74" s="750"/>
      <c r="F74" s="750"/>
      <c r="G74" s="750"/>
      <c r="H74" s="750"/>
      <c r="I74" s="750"/>
      <c r="J74" s="750"/>
      <c r="K74" s="750"/>
      <c r="L74" s="750"/>
      <c r="M74" s="750"/>
      <c r="N74" s="750"/>
    </row>
    <row r="75" spans="1:14" x14ac:dyDescent="0.25">
      <c r="A75" s="750"/>
      <c r="B75" s="750"/>
      <c r="C75" s="750"/>
      <c r="D75" s="750"/>
      <c r="E75" s="750"/>
      <c r="F75" s="750"/>
      <c r="G75" s="750"/>
      <c r="H75" s="750"/>
      <c r="I75" s="750"/>
      <c r="J75" s="750"/>
      <c r="K75" s="750"/>
      <c r="L75" s="750"/>
      <c r="M75" s="750"/>
      <c r="N75" s="750"/>
    </row>
    <row r="76" spans="1:14" x14ac:dyDescent="0.25">
      <c r="A76" s="750"/>
      <c r="B76" s="750"/>
      <c r="C76" s="750"/>
      <c r="D76" s="750"/>
      <c r="E76" s="750"/>
      <c r="F76" s="750"/>
      <c r="G76" s="750"/>
      <c r="H76" s="750"/>
      <c r="I76" s="750"/>
      <c r="J76" s="750"/>
      <c r="K76" s="750"/>
      <c r="L76" s="750"/>
      <c r="M76" s="750"/>
      <c r="N76" s="750"/>
    </row>
    <row r="77" spans="1:14" x14ac:dyDescent="0.25">
      <c r="A77" s="750"/>
      <c r="B77" s="750"/>
      <c r="C77" s="750"/>
      <c r="D77" s="750"/>
      <c r="E77" s="750"/>
      <c r="F77" s="750"/>
      <c r="G77" s="750"/>
      <c r="H77" s="750"/>
      <c r="I77" s="750"/>
      <c r="J77" s="750"/>
      <c r="K77" s="750"/>
      <c r="L77" s="750"/>
      <c r="M77" s="750"/>
      <c r="N77" s="750"/>
    </row>
    <row r="78" spans="1:14" x14ac:dyDescent="0.25">
      <c r="A78" s="750"/>
      <c r="B78" s="750"/>
      <c r="C78" s="750"/>
      <c r="D78" s="750"/>
      <c r="E78" s="750"/>
      <c r="F78" s="750"/>
      <c r="G78" s="750"/>
      <c r="H78" s="750"/>
      <c r="I78" s="750"/>
      <c r="J78" s="750"/>
      <c r="K78" s="750"/>
      <c r="L78" s="750"/>
      <c r="M78" s="750"/>
      <c r="N78" s="750"/>
    </row>
    <row r="79" spans="1:14" x14ac:dyDescent="0.25">
      <c r="A79" s="750"/>
      <c r="B79" s="750"/>
      <c r="C79" s="750"/>
      <c r="D79" s="750"/>
      <c r="E79" s="750"/>
      <c r="F79" s="750"/>
      <c r="G79" s="750"/>
      <c r="H79" s="750"/>
      <c r="I79" s="750"/>
      <c r="J79" s="750"/>
      <c r="K79" s="750"/>
      <c r="L79" s="750"/>
      <c r="M79" s="750"/>
      <c r="N79" s="750"/>
    </row>
    <row r="80" spans="1:14" x14ac:dyDescent="0.25">
      <c r="A80" s="750"/>
      <c r="B80" s="750"/>
      <c r="C80" s="750"/>
      <c r="D80" s="750"/>
      <c r="E80" s="750"/>
      <c r="F80" s="750"/>
      <c r="G80" s="750"/>
      <c r="H80" s="750"/>
      <c r="I80" s="750"/>
      <c r="J80" s="750"/>
      <c r="K80" s="750"/>
      <c r="L80" s="750"/>
      <c r="M80" s="750"/>
      <c r="N80" s="750"/>
    </row>
    <row r="81" spans="1:14" x14ac:dyDescent="0.25">
      <c r="A81" s="750"/>
      <c r="B81" s="750"/>
      <c r="C81" s="750"/>
      <c r="D81" s="750"/>
      <c r="E81" s="750"/>
      <c r="F81" s="750"/>
      <c r="G81" s="750"/>
      <c r="H81" s="750"/>
      <c r="I81" s="750"/>
      <c r="J81" s="750"/>
      <c r="K81" s="750"/>
      <c r="L81" s="750"/>
      <c r="M81" s="750"/>
      <c r="N81" s="750"/>
    </row>
    <row r="82" spans="1:14" x14ac:dyDescent="0.25">
      <c r="A82" s="750"/>
      <c r="B82" s="750"/>
      <c r="C82" s="750"/>
      <c r="D82" s="750"/>
      <c r="E82" s="750"/>
      <c r="F82" s="750"/>
      <c r="G82" s="750"/>
      <c r="H82" s="750"/>
      <c r="I82" s="750"/>
      <c r="J82" s="750"/>
      <c r="K82" s="750"/>
      <c r="L82" s="750"/>
      <c r="M82" s="750"/>
      <c r="N82" s="750"/>
    </row>
    <row r="83" spans="1:14" x14ac:dyDescent="0.25">
      <c r="A83" s="750"/>
      <c r="B83" s="750"/>
      <c r="C83" s="750"/>
      <c r="D83" s="750"/>
      <c r="E83" s="750"/>
      <c r="F83" s="750"/>
      <c r="G83" s="750"/>
      <c r="H83" s="750"/>
      <c r="I83" s="750"/>
      <c r="J83" s="750"/>
      <c r="K83" s="750"/>
      <c r="L83" s="750"/>
      <c r="M83" s="750"/>
      <c r="N83" s="750"/>
    </row>
    <row r="84" spans="1:14" x14ac:dyDescent="0.25">
      <c r="A84" s="750"/>
      <c r="B84" s="750"/>
      <c r="C84" s="750"/>
      <c r="D84" s="750"/>
      <c r="E84" s="750"/>
      <c r="F84" s="750"/>
      <c r="G84" s="750"/>
      <c r="H84" s="750"/>
      <c r="I84" s="750"/>
      <c r="J84" s="750"/>
      <c r="K84" s="750"/>
      <c r="L84" s="750"/>
      <c r="M84" s="750"/>
      <c r="N84" s="750"/>
    </row>
    <row r="85" spans="1:14" x14ac:dyDescent="0.25">
      <c r="A85" s="750"/>
      <c r="B85" s="750"/>
      <c r="C85" s="750"/>
      <c r="D85" s="750"/>
      <c r="E85" s="750"/>
      <c r="F85" s="750"/>
      <c r="G85" s="750"/>
      <c r="H85" s="750"/>
      <c r="I85" s="750"/>
      <c r="J85" s="750"/>
      <c r="K85" s="750"/>
      <c r="L85" s="750"/>
      <c r="M85" s="750"/>
      <c r="N85" s="750"/>
    </row>
    <row r="86" spans="1:14" x14ac:dyDescent="0.25">
      <c r="A86" s="750"/>
      <c r="B86" s="750"/>
      <c r="C86" s="750"/>
      <c r="D86" s="750"/>
      <c r="E86" s="750"/>
      <c r="F86" s="750"/>
      <c r="G86" s="750"/>
      <c r="H86" s="750"/>
      <c r="I86" s="750"/>
      <c r="J86" s="750"/>
      <c r="K86" s="750"/>
      <c r="L86" s="750"/>
      <c r="M86" s="750"/>
      <c r="N86" s="750"/>
    </row>
    <row r="87" spans="1:14" x14ac:dyDescent="0.25">
      <c r="A87" s="750"/>
      <c r="B87" s="750"/>
      <c r="C87" s="750"/>
      <c r="D87" s="750"/>
      <c r="E87" s="750"/>
      <c r="F87" s="750"/>
      <c r="G87" s="750"/>
      <c r="H87" s="750"/>
      <c r="I87" s="750"/>
      <c r="J87" s="750"/>
      <c r="K87" s="750"/>
      <c r="L87" s="750"/>
      <c r="M87" s="750"/>
      <c r="N87" s="750"/>
    </row>
    <row r="88" spans="1:14" x14ac:dyDescent="0.25">
      <c r="A88" s="750"/>
      <c r="B88" s="750"/>
      <c r="C88" s="750"/>
      <c r="D88" s="750"/>
      <c r="E88" s="750"/>
      <c r="F88" s="750"/>
      <c r="G88" s="750"/>
      <c r="H88" s="750"/>
      <c r="I88" s="750"/>
      <c r="J88" s="750"/>
      <c r="K88" s="750"/>
      <c r="L88" s="750"/>
      <c r="M88" s="750"/>
      <c r="N88" s="750"/>
    </row>
    <row r="89" spans="1:14" x14ac:dyDescent="0.25">
      <c r="A89" s="750"/>
      <c r="B89" s="750"/>
      <c r="C89" s="750"/>
      <c r="D89" s="750"/>
      <c r="E89" s="750"/>
      <c r="F89" s="750"/>
      <c r="G89" s="750"/>
      <c r="H89" s="750"/>
      <c r="I89" s="750"/>
      <c r="J89" s="750"/>
      <c r="K89" s="750"/>
      <c r="L89" s="750"/>
      <c r="M89" s="750"/>
      <c r="N89" s="750"/>
    </row>
    <row r="90" spans="1:14" x14ac:dyDescent="0.25">
      <c r="A90" s="750"/>
      <c r="B90" s="750"/>
      <c r="C90" s="750"/>
      <c r="D90" s="750"/>
      <c r="E90" s="750"/>
      <c r="F90" s="750"/>
      <c r="G90" s="750"/>
      <c r="H90" s="750"/>
      <c r="I90" s="750"/>
      <c r="J90" s="750"/>
      <c r="K90" s="750"/>
      <c r="L90" s="750"/>
      <c r="M90" s="750"/>
      <c r="N90" s="750"/>
    </row>
    <row r="91" spans="1:14" x14ac:dyDescent="0.25">
      <c r="A91" s="750"/>
      <c r="B91" s="750"/>
      <c r="C91" s="750"/>
      <c r="D91" s="750"/>
      <c r="E91" s="750"/>
      <c r="F91" s="750"/>
      <c r="G91" s="750"/>
      <c r="H91" s="750"/>
      <c r="I91" s="750"/>
      <c r="J91" s="750"/>
      <c r="K91" s="750"/>
      <c r="L91" s="750"/>
      <c r="M91" s="750"/>
      <c r="N91" s="750"/>
    </row>
    <row r="92" spans="1:14" x14ac:dyDescent="0.25">
      <c r="A92" s="750"/>
      <c r="B92" s="750"/>
      <c r="C92" s="750"/>
      <c r="D92" s="750"/>
      <c r="E92" s="750"/>
      <c r="F92" s="750"/>
      <c r="G92" s="750"/>
      <c r="H92" s="750"/>
      <c r="I92" s="750"/>
      <c r="J92" s="750"/>
      <c r="K92" s="750"/>
      <c r="L92" s="750"/>
      <c r="M92" s="750"/>
      <c r="N92" s="750"/>
    </row>
    <row r="93" spans="1:14" x14ac:dyDescent="0.25">
      <c r="A93" s="750"/>
      <c r="B93" s="750"/>
      <c r="C93" s="750"/>
      <c r="D93" s="750"/>
      <c r="E93" s="750"/>
      <c r="F93" s="750"/>
      <c r="G93" s="750"/>
      <c r="H93" s="750"/>
      <c r="I93" s="750"/>
      <c r="J93" s="750"/>
      <c r="K93" s="750"/>
      <c r="L93" s="750"/>
      <c r="M93" s="750"/>
      <c r="N93" s="750"/>
    </row>
    <row r="94" spans="1:14" x14ac:dyDescent="0.25">
      <c r="A94" s="750"/>
      <c r="B94" s="750"/>
      <c r="C94" s="750"/>
      <c r="D94" s="750"/>
      <c r="E94" s="750"/>
      <c r="F94" s="750"/>
      <c r="G94" s="750"/>
      <c r="H94" s="750"/>
      <c r="I94" s="750"/>
      <c r="J94" s="750"/>
      <c r="K94" s="750"/>
      <c r="L94" s="750"/>
      <c r="M94" s="750"/>
      <c r="N94" s="750"/>
    </row>
    <row r="95" spans="1:14" x14ac:dyDescent="0.25">
      <c r="A95" s="750"/>
      <c r="B95" s="750"/>
      <c r="C95" s="750"/>
      <c r="D95" s="750"/>
      <c r="E95" s="750"/>
      <c r="F95" s="750"/>
      <c r="G95" s="750"/>
      <c r="H95" s="750"/>
      <c r="I95" s="750"/>
      <c r="J95" s="750"/>
      <c r="K95" s="750"/>
      <c r="L95" s="750"/>
      <c r="M95" s="750"/>
      <c r="N95" s="750"/>
    </row>
    <row r="96" spans="1:14" x14ac:dyDescent="0.25">
      <c r="A96" s="750"/>
      <c r="B96" s="750"/>
      <c r="C96" s="750"/>
      <c r="D96" s="750"/>
      <c r="E96" s="750"/>
      <c r="F96" s="750"/>
      <c r="G96" s="750"/>
      <c r="H96" s="750"/>
      <c r="I96" s="750"/>
      <c r="J96" s="750"/>
      <c r="K96" s="750"/>
      <c r="L96" s="750"/>
      <c r="M96" s="750"/>
      <c r="N96" s="750"/>
    </row>
    <row r="97" spans="1:14" x14ac:dyDescent="0.25">
      <c r="A97" s="750"/>
      <c r="B97" s="750"/>
      <c r="C97" s="750"/>
      <c r="D97" s="750"/>
      <c r="E97" s="750"/>
      <c r="F97" s="750"/>
      <c r="G97" s="750"/>
      <c r="H97" s="750"/>
      <c r="I97" s="750"/>
      <c r="J97" s="750"/>
      <c r="K97" s="750"/>
      <c r="L97" s="750"/>
      <c r="M97" s="750"/>
      <c r="N97" s="750"/>
    </row>
    <row r="98" spans="1:14" x14ac:dyDescent="0.25">
      <c r="A98" s="750"/>
      <c r="B98" s="750"/>
      <c r="C98" s="750"/>
      <c r="D98" s="750"/>
      <c r="E98" s="750"/>
      <c r="F98" s="750"/>
      <c r="G98" s="750"/>
      <c r="H98" s="750"/>
      <c r="I98" s="750"/>
      <c r="J98" s="750"/>
      <c r="K98" s="750"/>
      <c r="L98" s="750"/>
      <c r="M98" s="750"/>
      <c r="N98" s="750"/>
    </row>
    <row r="99" spans="1:14" x14ac:dyDescent="0.25">
      <c r="A99" s="750"/>
      <c r="B99" s="750"/>
      <c r="C99" s="750"/>
      <c r="D99" s="750"/>
      <c r="E99" s="750"/>
      <c r="F99" s="750"/>
      <c r="G99" s="750"/>
      <c r="H99" s="750"/>
      <c r="I99" s="750"/>
      <c r="J99" s="750"/>
      <c r="K99" s="750"/>
      <c r="L99" s="750"/>
      <c r="M99" s="750"/>
      <c r="N99" s="750"/>
    </row>
    <row r="100" spans="1:14" x14ac:dyDescent="0.25">
      <c r="A100" s="750"/>
      <c r="B100" s="750"/>
      <c r="C100" s="750"/>
      <c r="D100" s="750"/>
      <c r="E100" s="750"/>
      <c r="F100" s="750"/>
      <c r="G100" s="750"/>
      <c r="H100" s="750"/>
      <c r="I100" s="750"/>
      <c r="J100" s="750"/>
      <c r="K100" s="750"/>
      <c r="L100" s="750"/>
      <c r="M100" s="750"/>
      <c r="N100" s="750"/>
    </row>
    <row r="101" spans="1:14" x14ac:dyDescent="0.25">
      <c r="A101" s="750"/>
      <c r="B101" s="750"/>
      <c r="C101" s="750"/>
      <c r="D101" s="750"/>
      <c r="E101" s="750"/>
      <c r="F101" s="750"/>
      <c r="G101" s="750"/>
      <c r="H101" s="750"/>
      <c r="I101" s="750"/>
      <c r="J101" s="750"/>
      <c r="K101" s="750"/>
      <c r="L101" s="750"/>
      <c r="M101" s="750"/>
      <c r="N101" s="750"/>
    </row>
    <row r="102" spans="1:14" x14ac:dyDescent="0.25">
      <c r="A102" s="750"/>
      <c r="B102" s="750"/>
      <c r="C102" s="750"/>
      <c r="D102" s="750"/>
      <c r="E102" s="750"/>
      <c r="F102" s="750"/>
      <c r="G102" s="750"/>
      <c r="H102" s="750"/>
      <c r="I102" s="750"/>
      <c r="J102" s="750"/>
      <c r="K102" s="750"/>
      <c r="L102" s="750"/>
      <c r="M102" s="750"/>
      <c r="N102" s="750"/>
    </row>
    <row r="103" spans="1:14" x14ac:dyDescent="0.25">
      <c r="A103" s="750"/>
      <c r="B103" s="750"/>
      <c r="C103" s="750"/>
      <c r="D103" s="750"/>
      <c r="E103" s="750"/>
      <c r="F103" s="750"/>
      <c r="G103" s="750"/>
      <c r="H103" s="750"/>
      <c r="I103" s="750"/>
      <c r="J103" s="750"/>
      <c r="K103" s="750"/>
      <c r="L103" s="750"/>
      <c r="M103" s="750"/>
      <c r="N103" s="750"/>
    </row>
    <row r="104" spans="1:14" x14ac:dyDescent="0.25">
      <c r="A104" s="750"/>
      <c r="B104" s="750"/>
      <c r="C104" s="750"/>
      <c r="D104" s="750"/>
      <c r="E104" s="750"/>
      <c r="F104" s="750"/>
      <c r="G104" s="750"/>
      <c r="H104" s="750"/>
      <c r="I104" s="750"/>
      <c r="J104" s="750"/>
      <c r="K104" s="750"/>
      <c r="L104" s="750"/>
      <c r="M104" s="750"/>
      <c r="N104" s="750"/>
    </row>
    <row r="105" spans="1:14" x14ac:dyDescent="0.25">
      <c r="A105" s="750"/>
      <c r="B105" s="750"/>
      <c r="C105" s="750"/>
      <c r="D105" s="750"/>
      <c r="E105" s="750"/>
      <c r="F105" s="750"/>
      <c r="G105" s="750"/>
      <c r="H105" s="750"/>
      <c r="I105" s="750"/>
      <c r="J105" s="750"/>
      <c r="K105" s="750"/>
      <c r="L105" s="750"/>
      <c r="M105" s="750"/>
      <c r="N105" s="750"/>
    </row>
    <row r="106" spans="1:14" x14ac:dyDescent="0.25">
      <c r="A106" s="750"/>
      <c r="B106" s="750"/>
      <c r="C106" s="750"/>
      <c r="D106" s="750"/>
      <c r="E106" s="750"/>
      <c r="F106" s="750"/>
      <c r="G106" s="750"/>
      <c r="H106" s="750"/>
      <c r="I106" s="750"/>
      <c r="J106" s="750"/>
      <c r="K106" s="750"/>
      <c r="L106" s="750"/>
      <c r="M106" s="750"/>
      <c r="N106" s="750"/>
    </row>
    <row r="107" spans="1:14" x14ac:dyDescent="0.25">
      <c r="A107" s="750"/>
      <c r="B107" s="750"/>
      <c r="C107" s="750"/>
      <c r="D107" s="750"/>
      <c r="E107" s="750"/>
      <c r="F107" s="750"/>
      <c r="G107" s="750"/>
      <c r="H107" s="750"/>
      <c r="I107" s="750"/>
      <c r="J107" s="750"/>
      <c r="K107" s="750"/>
      <c r="L107" s="750"/>
      <c r="M107" s="750"/>
      <c r="N107" s="750"/>
    </row>
    <row r="108" spans="1:14" x14ac:dyDescent="0.25">
      <c r="A108" s="750"/>
      <c r="B108" s="750"/>
      <c r="C108" s="750"/>
      <c r="D108" s="750"/>
      <c r="E108" s="750"/>
      <c r="F108" s="750"/>
      <c r="G108" s="750"/>
      <c r="H108" s="750"/>
      <c r="I108" s="750"/>
      <c r="J108" s="750"/>
      <c r="K108" s="750"/>
      <c r="L108" s="750"/>
      <c r="M108" s="750"/>
      <c r="N108" s="750"/>
    </row>
    <row r="109" spans="1:14" x14ac:dyDescent="0.25">
      <c r="A109" s="750"/>
      <c r="B109" s="750"/>
      <c r="C109" s="750"/>
      <c r="D109" s="750"/>
      <c r="E109" s="750"/>
      <c r="F109" s="750"/>
      <c r="G109" s="750"/>
      <c r="H109" s="750"/>
      <c r="I109" s="750"/>
      <c r="J109" s="750"/>
      <c r="K109" s="750"/>
      <c r="L109" s="750"/>
      <c r="M109" s="750"/>
      <c r="N109" s="750"/>
    </row>
    <row r="110" spans="1:14" x14ac:dyDescent="0.25">
      <c r="A110" s="750"/>
      <c r="B110" s="750"/>
      <c r="C110" s="750"/>
      <c r="D110" s="750"/>
      <c r="E110" s="750"/>
      <c r="F110" s="750"/>
      <c r="G110" s="750"/>
      <c r="H110" s="750"/>
      <c r="I110" s="750"/>
      <c r="J110" s="750"/>
      <c r="K110" s="750"/>
      <c r="L110" s="750"/>
      <c r="M110" s="750"/>
      <c r="N110" s="750"/>
    </row>
    <row r="111" spans="1:14" x14ac:dyDescent="0.25">
      <c r="A111" s="750"/>
      <c r="B111" s="750"/>
      <c r="C111" s="750"/>
      <c r="D111" s="750"/>
      <c r="E111" s="750"/>
      <c r="F111" s="750"/>
      <c r="G111" s="750"/>
      <c r="H111" s="750"/>
      <c r="I111" s="750"/>
      <c r="J111" s="750"/>
      <c r="K111" s="750"/>
      <c r="L111" s="750"/>
      <c r="M111" s="750"/>
      <c r="N111" s="750"/>
    </row>
    <row r="112" spans="1:14" x14ac:dyDescent="0.25">
      <c r="A112" s="750"/>
      <c r="B112" s="750"/>
      <c r="C112" s="750"/>
      <c r="D112" s="750"/>
      <c r="E112" s="750"/>
      <c r="F112" s="750"/>
      <c r="G112" s="750"/>
      <c r="H112" s="750"/>
      <c r="I112" s="750"/>
      <c r="J112" s="750"/>
      <c r="K112" s="750"/>
      <c r="L112" s="750"/>
      <c r="M112" s="750"/>
      <c r="N112" s="750"/>
    </row>
    <row r="113" spans="1:14" x14ac:dyDescent="0.25">
      <c r="A113" s="750"/>
      <c r="B113" s="750"/>
      <c r="C113" s="750"/>
      <c r="D113" s="750"/>
      <c r="E113" s="750"/>
      <c r="F113" s="750"/>
      <c r="G113" s="750"/>
      <c r="H113" s="750"/>
      <c r="I113" s="750"/>
      <c r="J113" s="750"/>
      <c r="K113" s="750"/>
      <c r="L113" s="750"/>
      <c r="M113" s="750"/>
      <c r="N113" s="750"/>
    </row>
    <row r="114" spans="1:14" x14ac:dyDescent="0.25">
      <c r="A114" s="750"/>
      <c r="B114" s="750"/>
      <c r="C114" s="750"/>
      <c r="D114" s="750"/>
      <c r="E114" s="750"/>
      <c r="F114" s="750"/>
      <c r="G114" s="750"/>
      <c r="H114" s="750"/>
      <c r="I114" s="750"/>
      <c r="J114" s="750"/>
      <c r="K114" s="750"/>
      <c r="L114" s="750"/>
      <c r="M114" s="750"/>
      <c r="N114" s="750"/>
    </row>
    <row r="115" spans="1:14" x14ac:dyDescent="0.25">
      <c r="A115" s="750"/>
      <c r="B115" s="750"/>
      <c r="C115" s="750"/>
      <c r="D115" s="750"/>
      <c r="E115" s="750"/>
      <c r="F115" s="750"/>
      <c r="G115" s="750"/>
      <c r="H115" s="750"/>
      <c r="I115" s="750"/>
      <c r="J115" s="750"/>
      <c r="K115" s="750"/>
      <c r="L115" s="750"/>
      <c r="M115" s="750"/>
      <c r="N115" s="750"/>
    </row>
    <row r="116" spans="1:14" x14ac:dyDescent="0.25">
      <c r="A116" s="750"/>
      <c r="B116" s="750"/>
      <c r="C116" s="750"/>
      <c r="D116" s="750"/>
      <c r="E116" s="750"/>
      <c r="F116" s="750"/>
      <c r="G116" s="750"/>
      <c r="H116" s="750"/>
      <c r="I116" s="750"/>
      <c r="J116" s="750"/>
      <c r="K116" s="750"/>
      <c r="L116" s="750"/>
      <c r="M116" s="750"/>
      <c r="N116" s="750"/>
    </row>
    <row r="117" spans="1:14" x14ac:dyDescent="0.25">
      <c r="A117" s="750"/>
      <c r="B117" s="750"/>
      <c r="C117" s="750"/>
      <c r="D117" s="750"/>
      <c r="E117" s="750"/>
      <c r="F117" s="750"/>
      <c r="G117" s="750"/>
      <c r="H117" s="750"/>
      <c r="I117" s="750"/>
      <c r="J117" s="750"/>
      <c r="K117" s="750"/>
      <c r="L117" s="750"/>
      <c r="M117" s="750"/>
      <c r="N117" s="750"/>
    </row>
    <row r="118" spans="1:14" x14ac:dyDescent="0.25">
      <c r="A118" s="750"/>
      <c r="B118" s="750"/>
      <c r="C118" s="750"/>
      <c r="D118" s="750"/>
      <c r="E118" s="750"/>
      <c r="F118" s="750"/>
      <c r="G118" s="750"/>
      <c r="H118" s="750"/>
      <c r="I118" s="750"/>
      <c r="J118" s="750"/>
      <c r="K118" s="750"/>
      <c r="L118" s="750"/>
      <c r="M118" s="750"/>
      <c r="N118" s="750"/>
    </row>
    <row r="119" spans="1:14" x14ac:dyDescent="0.25">
      <c r="A119" s="750"/>
      <c r="B119" s="750"/>
      <c r="C119" s="750"/>
      <c r="D119" s="750"/>
      <c r="E119" s="750"/>
      <c r="F119" s="750"/>
      <c r="G119" s="750"/>
      <c r="H119" s="750"/>
      <c r="I119" s="750"/>
      <c r="J119" s="750"/>
      <c r="K119" s="750"/>
      <c r="L119" s="750"/>
      <c r="M119" s="750"/>
      <c r="N119" s="750"/>
    </row>
    <row r="120" spans="1:14" x14ac:dyDescent="0.25">
      <c r="A120" s="750"/>
      <c r="B120" s="750"/>
      <c r="C120" s="750"/>
      <c r="D120" s="750"/>
      <c r="E120" s="750"/>
      <c r="F120" s="750"/>
      <c r="G120" s="750"/>
      <c r="H120" s="750"/>
      <c r="I120" s="750"/>
      <c r="J120" s="750"/>
      <c r="K120" s="750"/>
      <c r="L120" s="750"/>
      <c r="M120" s="750"/>
      <c r="N120" s="750"/>
    </row>
    <row r="121" spans="1:14" x14ac:dyDescent="0.25">
      <c r="A121" s="750"/>
      <c r="B121" s="750"/>
      <c r="C121" s="750"/>
      <c r="D121" s="750"/>
      <c r="E121" s="750"/>
      <c r="F121" s="750"/>
      <c r="G121" s="750"/>
      <c r="H121" s="750"/>
      <c r="I121" s="750"/>
      <c r="J121" s="750"/>
      <c r="K121" s="750"/>
      <c r="L121" s="750"/>
      <c r="M121" s="750"/>
      <c r="N121" s="750"/>
    </row>
    <row r="122" spans="1:14" x14ac:dyDescent="0.25">
      <c r="A122" s="750"/>
      <c r="B122" s="750"/>
      <c r="C122" s="750"/>
      <c r="D122" s="750"/>
      <c r="E122" s="750"/>
      <c r="F122" s="750"/>
      <c r="G122" s="750"/>
      <c r="H122" s="750"/>
      <c r="I122" s="750"/>
      <c r="J122" s="750"/>
      <c r="K122" s="750"/>
      <c r="L122" s="750"/>
      <c r="M122" s="750"/>
      <c r="N122" s="750"/>
    </row>
    <row r="123" spans="1:14" x14ac:dyDescent="0.25">
      <c r="A123" s="750"/>
      <c r="B123" s="750"/>
      <c r="C123" s="750"/>
      <c r="D123" s="750"/>
      <c r="E123" s="750"/>
      <c r="F123" s="750"/>
      <c r="G123" s="750"/>
      <c r="H123" s="750"/>
      <c r="I123" s="750"/>
      <c r="J123" s="750"/>
      <c r="K123" s="750"/>
      <c r="L123" s="750"/>
      <c r="M123" s="750"/>
      <c r="N123" s="750"/>
    </row>
    <row r="124" spans="1:14" x14ac:dyDescent="0.25">
      <c r="A124" s="750"/>
      <c r="B124" s="750"/>
      <c r="C124" s="750"/>
      <c r="D124" s="750"/>
      <c r="E124" s="750"/>
      <c r="F124" s="750"/>
      <c r="G124" s="750"/>
      <c r="H124" s="750"/>
      <c r="I124" s="750"/>
      <c r="J124" s="750"/>
      <c r="K124" s="750"/>
      <c r="L124" s="750"/>
      <c r="M124" s="750"/>
      <c r="N124" s="750"/>
    </row>
    <row r="125" spans="1:14" x14ac:dyDescent="0.25">
      <c r="A125" s="750"/>
      <c r="B125" s="750"/>
      <c r="C125" s="750"/>
      <c r="D125" s="750"/>
      <c r="E125" s="750"/>
      <c r="F125" s="750"/>
      <c r="G125" s="750"/>
      <c r="H125" s="750"/>
      <c r="I125" s="750"/>
      <c r="J125" s="750"/>
      <c r="K125" s="750"/>
      <c r="L125" s="750"/>
      <c r="M125" s="750"/>
      <c r="N125" s="750"/>
    </row>
    <row r="126" spans="1:14" x14ac:dyDescent="0.25">
      <c r="A126" s="750"/>
      <c r="B126" s="750"/>
      <c r="C126" s="750"/>
      <c r="D126" s="750"/>
      <c r="E126" s="750"/>
      <c r="F126" s="750"/>
      <c r="G126" s="750"/>
      <c r="H126" s="750"/>
      <c r="I126" s="750"/>
      <c r="J126" s="750"/>
      <c r="K126" s="750"/>
      <c r="L126" s="750"/>
      <c r="M126" s="750"/>
      <c r="N126" s="750"/>
    </row>
    <row r="127" spans="1:14" x14ac:dyDescent="0.25">
      <c r="A127" s="750"/>
      <c r="B127" s="750"/>
      <c r="C127" s="750"/>
      <c r="D127" s="750"/>
      <c r="E127" s="750"/>
      <c r="F127" s="750"/>
      <c r="G127" s="750"/>
      <c r="H127" s="750"/>
      <c r="I127" s="750"/>
      <c r="J127" s="750"/>
      <c r="K127" s="750"/>
      <c r="L127" s="750"/>
      <c r="M127" s="750"/>
      <c r="N127" s="750"/>
    </row>
    <row r="128" spans="1:14" x14ac:dyDescent="0.25">
      <c r="A128" s="750"/>
      <c r="B128" s="750"/>
      <c r="C128" s="750"/>
      <c r="D128" s="750"/>
      <c r="E128" s="750"/>
      <c r="F128" s="750"/>
      <c r="G128" s="750"/>
      <c r="H128" s="750"/>
      <c r="I128" s="750"/>
      <c r="J128" s="750"/>
      <c r="K128" s="750"/>
      <c r="L128" s="750"/>
      <c r="M128" s="750"/>
      <c r="N128" s="750"/>
    </row>
    <row r="129" spans="1:14" x14ac:dyDescent="0.25">
      <c r="A129" s="750"/>
      <c r="B129" s="750"/>
      <c r="C129" s="750"/>
      <c r="D129" s="750"/>
      <c r="E129" s="750"/>
      <c r="F129" s="750"/>
      <c r="G129" s="750"/>
      <c r="H129" s="750"/>
      <c r="I129" s="750"/>
      <c r="J129" s="750"/>
      <c r="K129" s="750"/>
      <c r="L129" s="750"/>
      <c r="M129" s="750"/>
      <c r="N129" s="750"/>
    </row>
    <row r="130" spans="1:14" x14ac:dyDescent="0.25">
      <c r="A130" s="750"/>
      <c r="B130" s="750"/>
      <c r="C130" s="750"/>
      <c r="D130" s="750"/>
      <c r="E130" s="750"/>
      <c r="F130" s="750"/>
      <c r="G130" s="750"/>
      <c r="H130" s="750"/>
      <c r="I130" s="750"/>
      <c r="J130" s="750"/>
      <c r="K130" s="750"/>
      <c r="L130" s="750"/>
      <c r="M130" s="750"/>
      <c r="N130" s="750"/>
    </row>
    <row r="131" spans="1:14" x14ac:dyDescent="0.25">
      <c r="A131" s="750"/>
      <c r="B131" s="750"/>
      <c r="C131" s="750"/>
      <c r="D131" s="750"/>
      <c r="E131" s="750"/>
      <c r="F131" s="750"/>
      <c r="G131" s="750"/>
      <c r="H131" s="750"/>
      <c r="I131" s="750"/>
      <c r="J131" s="750"/>
      <c r="K131" s="750"/>
      <c r="L131" s="750"/>
      <c r="M131" s="750"/>
      <c r="N131" s="750"/>
    </row>
    <row r="132" spans="1:14" x14ac:dyDescent="0.25">
      <c r="A132" s="750"/>
      <c r="B132" s="750"/>
      <c r="C132" s="750"/>
      <c r="D132" s="750"/>
      <c r="E132" s="750"/>
      <c r="F132" s="750"/>
      <c r="G132" s="750"/>
      <c r="H132" s="750"/>
      <c r="I132" s="750"/>
      <c r="J132" s="750"/>
      <c r="K132" s="750"/>
      <c r="L132" s="750"/>
      <c r="M132" s="750"/>
      <c r="N132" s="750"/>
    </row>
    <row r="133" spans="1:14" x14ac:dyDescent="0.25">
      <c r="A133" s="750"/>
      <c r="B133" s="750"/>
      <c r="C133" s="750"/>
      <c r="D133" s="750"/>
      <c r="E133" s="750"/>
      <c r="F133" s="750"/>
      <c r="G133" s="750"/>
      <c r="H133" s="750"/>
      <c r="I133" s="750"/>
      <c r="J133" s="750"/>
      <c r="K133" s="750"/>
      <c r="L133" s="750"/>
      <c r="M133" s="750"/>
      <c r="N133" s="750"/>
    </row>
    <row r="134" spans="1:14" x14ac:dyDescent="0.25">
      <c r="A134" s="750"/>
      <c r="B134" s="750"/>
      <c r="C134" s="750"/>
      <c r="D134" s="750"/>
      <c r="E134" s="750"/>
      <c r="F134" s="750"/>
      <c r="G134" s="750"/>
      <c r="H134" s="750"/>
      <c r="I134" s="750"/>
      <c r="J134" s="750"/>
      <c r="K134" s="750"/>
      <c r="L134" s="750"/>
      <c r="M134" s="750"/>
      <c r="N134" s="750"/>
    </row>
    <row r="135" spans="1:14" x14ac:dyDescent="0.25">
      <c r="A135" s="750"/>
      <c r="B135" s="750"/>
      <c r="C135" s="750"/>
      <c r="D135" s="750"/>
      <c r="E135" s="750"/>
      <c r="F135" s="750"/>
      <c r="G135" s="750"/>
      <c r="H135" s="750"/>
      <c r="I135" s="750"/>
      <c r="J135" s="750"/>
      <c r="K135" s="750"/>
      <c r="L135" s="750"/>
      <c r="M135" s="750"/>
      <c r="N135" s="750"/>
    </row>
    <row r="136" spans="1:14" x14ac:dyDescent="0.25">
      <c r="A136" s="750"/>
      <c r="B136" s="750"/>
      <c r="C136" s="750"/>
      <c r="D136" s="750"/>
      <c r="E136" s="750"/>
      <c r="F136" s="750"/>
      <c r="G136" s="750"/>
      <c r="H136" s="750"/>
      <c r="I136" s="750"/>
      <c r="J136" s="750"/>
      <c r="K136" s="750"/>
      <c r="L136" s="750"/>
      <c r="M136" s="750"/>
      <c r="N136" s="750"/>
    </row>
    <row r="137" spans="1:14" x14ac:dyDescent="0.25">
      <c r="A137" s="750"/>
      <c r="B137" s="750"/>
      <c r="C137" s="750"/>
      <c r="D137" s="750"/>
      <c r="E137" s="750"/>
      <c r="F137" s="750"/>
      <c r="G137" s="750"/>
      <c r="H137" s="750"/>
      <c r="I137" s="750"/>
      <c r="J137" s="750"/>
      <c r="K137" s="750"/>
      <c r="L137" s="750"/>
      <c r="M137" s="750"/>
      <c r="N137" s="750"/>
    </row>
    <row r="138" spans="1:14" x14ac:dyDescent="0.25">
      <c r="A138" s="750"/>
      <c r="B138" s="750"/>
      <c r="C138" s="750"/>
      <c r="D138" s="750"/>
      <c r="E138" s="750"/>
      <c r="F138" s="750"/>
      <c r="G138" s="750"/>
      <c r="H138" s="750"/>
      <c r="I138" s="750"/>
      <c r="J138" s="750"/>
      <c r="K138" s="750"/>
      <c r="L138" s="750"/>
      <c r="M138" s="750"/>
      <c r="N138" s="750"/>
    </row>
    <row r="139" spans="1:14" x14ac:dyDescent="0.25">
      <c r="A139" s="750"/>
      <c r="B139" s="750"/>
      <c r="C139" s="750"/>
      <c r="D139" s="750"/>
      <c r="E139" s="750"/>
      <c r="F139" s="750"/>
      <c r="G139" s="750"/>
      <c r="H139" s="750"/>
      <c r="I139" s="750"/>
      <c r="J139" s="750"/>
      <c r="K139" s="750"/>
      <c r="L139" s="750"/>
      <c r="M139" s="750"/>
      <c r="N139" s="750"/>
    </row>
    <row r="140" spans="1:14" x14ac:dyDescent="0.25">
      <c r="A140" s="750"/>
      <c r="B140" s="750"/>
      <c r="C140" s="750"/>
      <c r="D140" s="750"/>
      <c r="E140" s="750"/>
      <c r="F140" s="750"/>
      <c r="G140" s="750"/>
      <c r="H140" s="750"/>
      <c r="I140" s="750"/>
      <c r="J140" s="750"/>
      <c r="K140" s="750"/>
      <c r="L140" s="750"/>
      <c r="M140" s="750"/>
      <c r="N140" s="750"/>
    </row>
    <row r="141" spans="1:14" x14ac:dyDescent="0.25">
      <c r="A141" s="750"/>
      <c r="B141" s="750"/>
      <c r="C141" s="750"/>
      <c r="D141" s="750"/>
      <c r="E141" s="750"/>
      <c r="F141" s="750"/>
      <c r="G141" s="750"/>
      <c r="H141" s="750"/>
      <c r="I141" s="750"/>
      <c r="J141" s="750"/>
      <c r="K141" s="750"/>
      <c r="L141" s="750"/>
      <c r="M141" s="750"/>
      <c r="N141" s="750"/>
    </row>
    <row r="142" spans="1:14" x14ac:dyDescent="0.25">
      <c r="A142" s="750"/>
      <c r="B142" s="750"/>
      <c r="C142" s="750"/>
      <c r="D142" s="750"/>
      <c r="E142" s="750"/>
      <c r="F142" s="750"/>
      <c r="G142" s="750"/>
      <c r="H142" s="750"/>
      <c r="I142" s="750"/>
      <c r="J142" s="750"/>
      <c r="K142" s="750"/>
      <c r="L142" s="750"/>
      <c r="M142" s="750"/>
      <c r="N142" s="750"/>
    </row>
    <row r="143" spans="1:14" x14ac:dyDescent="0.25">
      <c r="A143" s="750"/>
      <c r="B143" s="750"/>
      <c r="C143" s="750"/>
      <c r="D143" s="750"/>
      <c r="E143" s="750"/>
      <c r="F143" s="750"/>
      <c r="G143" s="750"/>
      <c r="H143" s="750"/>
      <c r="I143" s="750"/>
      <c r="J143" s="750"/>
      <c r="K143" s="750"/>
      <c r="L143" s="750"/>
      <c r="M143" s="750"/>
      <c r="N143" s="750"/>
    </row>
    <row r="144" spans="1:14" x14ac:dyDescent="0.25">
      <c r="A144" s="750"/>
      <c r="B144" s="750"/>
      <c r="C144" s="750"/>
      <c r="D144" s="750"/>
      <c r="E144" s="750"/>
      <c r="F144" s="750"/>
      <c r="G144" s="750"/>
      <c r="H144" s="750"/>
      <c r="I144" s="750"/>
      <c r="J144" s="750"/>
      <c r="K144" s="750"/>
      <c r="L144" s="750"/>
      <c r="M144" s="750"/>
      <c r="N144" s="750"/>
    </row>
    <row r="145" spans="1:14" x14ac:dyDescent="0.25">
      <c r="A145" s="750"/>
      <c r="B145" s="750"/>
      <c r="C145" s="750"/>
      <c r="D145" s="750"/>
      <c r="E145" s="750"/>
      <c r="F145" s="750"/>
      <c r="G145" s="750"/>
      <c r="H145" s="750"/>
      <c r="I145" s="750"/>
      <c r="J145" s="750"/>
      <c r="K145" s="750"/>
      <c r="L145" s="750"/>
      <c r="M145" s="750"/>
      <c r="N145" s="750"/>
    </row>
    <row r="146" spans="1:14" x14ac:dyDescent="0.25">
      <c r="A146" s="750"/>
      <c r="B146" s="750"/>
      <c r="C146" s="750"/>
      <c r="D146" s="750"/>
      <c r="E146" s="750"/>
      <c r="F146" s="750"/>
      <c r="G146" s="750"/>
      <c r="H146" s="750"/>
      <c r="I146" s="750"/>
      <c r="J146" s="750"/>
      <c r="K146" s="750"/>
      <c r="L146" s="750"/>
      <c r="M146" s="750"/>
      <c r="N146" s="750"/>
    </row>
    <row r="147" spans="1:14" x14ac:dyDescent="0.25">
      <c r="A147" s="750"/>
      <c r="B147" s="750"/>
      <c r="C147" s="750"/>
      <c r="D147" s="750"/>
      <c r="E147" s="750"/>
      <c r="F147" s="750"/>
      <c r="G147" s="750"/>
      <c r="H147" s="750"/>
      <c r="I147" s="750"/>
      <c r="J147" s="750"/>
      <c r="K147" s="750"/>
      <c r="L147" s="750"/>
      <c r="M147" s="750"/>
      <c r="N147" s="750"/>
    </row>
    <row r="148" spans="1:14" x14ac:dyDescent="0.25">
      <c r="A148" s="750"/>
      <c r="B148" s="750"/>
      <c r="C148" s="750"/>
      <c r="D148" s="750"/>
      <c r="E148" s="750"/>
      <c r="F148" s="750"/>
      <c r="G148" s="750"/>
      <c r="H148" s="750"/>
      <c r="I148" s="750"/>
      <c r="J148" s="750"/>
      <c r="K148" s="750"/>
      <c r="L148" s="750"/>
      <c r="M148" s="750"/>
      <c r="N148" s="750"/>
    </row>
    <row r="149" spans="1:14" x14ac:dyDescent="0.25">
      <c r="A149" s="750"/>
      <c r="B149" s="750"/>
      <c r="C149" s="750"/>
      <c r="D149" s="750"/>
      <c r="E149" s="750"/>
      <c r="F149" s="750"/>
      <c r="G149" s="750"/>
      <c r="H149" s="750"/>
      <c r="I149" s="750"/>
      <c r="J149" s="750"/>
      <c r="K149" s="750"/>
      <c r="L149" s="750"/>
      <c r="M149" s="750"/>
      <c r="N149" s="750"/>
    </row>
    <row r="150" spans="1:14" x14ac:dyDescent="0.25">
      <c r="A150" s="750"/>
      <c r="B150" s="750"/>
      <c r="C150" s="750"/>
      <c r="D150" s="750"/>
      <c r="E150" s="750"/>
      <c r="F150" s="750"/>
      <c r="G150" s="750"/>
      <c r="H150" s="750"/>
      <c r="I150" s="750"/>
      <c r="J150" s="750"/>
      <c r="K150" s="750"/>
      <c r="L150" s="750"/>
      <c r="M150" s="750"/>
      <c r="N150" s="750"/>
    </row>
    <row r="151" spans="1:14" x14ac:dyDescent="0.25">
      <c r="A151" s="750"/>
      <c r="B151" s="750"/>
      <c r="C151" s="750"/>
      <c r="D151" s="750"/>
      <c r="E151" s="750"/>
      <c r="F151" s="750"/>
      <c r="G151" s="750"/>
      <c r="H151" s="750"/>
      <c r="I151" s="750"/>
      <c r="J151" s="750"/>
      <c r="K151" s="750"/>
      <c r="L151" s="750"/>
      <c r="M151" s="750"/>
      <c r="N151" s="750"/>
    </row>
    <row r="152" spans="1:14" x14ac:dyDescent="0.25">
      <c r="A152" s="750"/>
      <c r="B152" s="750"/>
      <c r="C152" s="750"/>
      <c r="D152" s="750"/>
      <c r="E152" s="750"/>
      <c r="F152" s="750"/>
      <c r="G152" s="750"/>
      <c r="H152" s="750"/>
      <c r="I152" s="750"/>
      <c r="J152" s="750"/>
      <c r="K152" s="750"/>
      <c r="L152" s="750"/>
      <c r="M152" s="750"/>
      <c r="N152" s="750"/>
    </row>
    <row r="153" spans="1:14" x14ac:dyDescent="0.25">
      <c r="A153" s="750"/>
      <c r="B153" s="750"/>
      <c r="C153" s="750"/>
      <c r="D153" s="750"/>
      <c r="E153" s="750"/>
      <c r="F153" s="750"/>
      <c r="G153" s="750"/>
      <c r="H153" s="750"/>
      <c r="I153" s="750"/>
      <c r="J153" s="750"/>
      <c r="K153" s="750"/>
      <c r="L153" s="750"/>
      <c r="M153" s="750"/>
      <c r="N153" s="750"/>
    </row>
    <row r="154" spans="1:14" x14ac:dyDescent="0.25">
      <c r="A154" s="750"/>
      <c r="B154" s="750"/>
      <c r="C154" s="750"/>
      <c r="D154" s="750"/>
      <c r="E154" s="750"/>
      <c r="F154" s="750"/>
      <c r="G154" s="750"/>
      <c r="H154" s="750"/>
      <c r="I154" s="750"/>
      <c r="J154" s="750"/>
      <c r="K154" s="750"/>
      <c r="L154" s="750"/>
      <c r="M154" s="750"/>
      <c r="N154" s="750"/>
    </row>
    <row r="155" spans="1:14" x14ac:dyDescent="0.25">
      <c r="A155" s="750"/>
      <c r="B155" s="750"/>
      <c r="C155" s="750"/>
      <c r="D155" s="750"/>
      <c r="E155" s="750"/>
      <c r="F155" s="750"/>
      <c r="G155" s="750"/>
      <c r="H155" s="750"/>
      <c r="I155" s="750"/>
      <c r="J155" s="750"/>
      <c r="K155" s="750"/>
      <c r="L155" s="750"/>
      <c r="M155" s="750"/>
      <c r="N155" s="750"/>
    </row>
    <row r="156" spans="1:14" x14ac:dyDescent="0.25">
      <c r="A156" s="750"/>
      <c r="B156" s="750"/>
      <c r="C156" s="750"/>
      <c r="D156" s="750"/>
      <c r="E156" s="750"/>
      <c r="F156" s="750"/>
      <c r="G156" s="750"/>
      <c r="H156" s="750"/>
      <c r="I156" s="750"/>
      <c r="J156" s="750"/>
      <c r="K156" s="750"/>
      <c r="L156" s="750"/>
      <c r="M156" s="750"/>
      <c r="N156" s="750"/>
    </row>
    <row r="157" spans="1:14" x14ac:dyDescent="0.25">
      <c r="A157" s="750"/>
      <c r="B157" s="750"/>
      <c r="C157" s="750"/>
      <c r="D157" s="750"/>
      <c r="E157" s="750"/>
      <c r="F157" s="750"/>
      <c r="G157" s="750"/>
      <c r="H157" s="750"/>
      <c r="I157" s="750"/>
      <c r="J157" s="750"/>
      <c r="K157" s="750"/>
      <c r="L157" s="750"/>
      <c r="M157" s="750"/>
      <c r="N157" s="750"/>
    </row>
    <row r="158" spans="1:14" x14ac:dyDescent="0.25">
      <c r="A158" s="750"/>
      <c r="B158" s="750"/>
      <c r="C158" s="750"/>
      <c r="D158" s="750"/>
      <c r="E158" s="750"/>
      <c r="F158" s="750"/>
      <c r="G158" s="750"/>
      <c r="H158" s="750"/>
      <c r="I158" s="750"/>
      <c r="J158" s="750"/>
      <c r="K158" s="750"/>
      <c r="L158" s="750"/>
      <c r="M158" s="750"/>
      <c r="N158" s="750"/>
    </row>
    <row r="159" spans="1:14" x14ac:dyDescent="0.25">
      <c r="A159" s="750"/>
      <c r="B159" s="750"/>
      <c r="C159" s="750"/>
      <c r="D159" s="750"/>
      <c r="E159" s="750"/>
      <c r="F159" s="750"/>
      <c r="G159" s="750"/>
      <c r="H159" s="750"/>
      <c r="I159" s="750"/>
      <c r="J159" s="750"/>
      <c r="K159" s="750"/>
      <c r="L159" s="750"/>
      <c r="M159" s="750"/>
      <c r="N159" s="750"/>
    </row>
    <row r="160" spans="1:14" x14ac:dyDescent="0.25">
      <c r="A160" s="750"/>
      <c r="B160" s="750"/>
      <c r="C160" s="750"/>
      <c r="D160" s="750"/>
      <c r="E160" s="750"/>
      <c r="F160" s="750"/>
      <c r="G160" s="750"/>
      <c r="H160" s="750"/>
      <c r="I160" s="750"/>
      <c r="J160" s="750"/>
      <c r="K160" s="750"/>
      <c r="L160" s="750"/>
      <c r="M160" s="750"/>
      <c r="N160" s="750"/>
    </row>
    <row r="161" spans="1:14" x14ac:dyDescent="0.25">
      <c r="A161" s="750"/>
      <c r="B161" s="750"/>
      <c r="C161" s="750"/>
      <c r="D161" s="750"/>
      <c r="E161" s="750"/>
      <c r="F161" s="750"/>
      <c r="G161" s="750"/>
      <c r="H161" s="750"/>
      <c r="I161" s="750"/>
      <c r="J161" s="750"/>
      <c r="K161" s="750"/>
      <c r="L161" s="750"/>
      <c r="M161" s="750"/>
      <c r="N161" s="750"/>
    </row>
    <row r="162" spans="1:14" x14ac:dyDescent="0.25">
      <c r="A162" s="750"/>
      <c r="B162" s="750"/>
      <c r="C162" s="750"/>
      <c r="D162" s="750"/>
      <c r="E162" s="750"/>
      <c r="F162" s="750"/>
      <c r="G162" s="750"/>
      <c r="H162" s="750"/>
      <c r="I162" s="750"/>
      <c r="J162" s="750"/>
      <c r="K162" s="750"/>
      <c r="L162" s="750"/>
      <c r="M162" s="750"/>
      <c r="N162" s="750"/>
    </row>
    <row r="163" spans="1:14" x14ac:dyDescent="0.25">
      <c r="A163" s="750"/>
      <c r="B163" s="750"/>
      <c r="C163" s="750"/>
      <c r="D163" s="750"/>
      <c r="E163" s="750"/>
      <c r="F163" s="750"/>
      <c r="G163" s="750"/>
      <c r="H163" s="750"/>
      <c r="I163" s="750"/>
      <c r="J163" s="750"/>
      <c r="K163" s="750"/>
      <c r="L163" s="750"/>
      <c r="M163" s="750"/>
      <c r="N163" s="750"/>
    </row>
    <row r="164" spans="1:14" x14ac:dyDescent="0.25">
      <c r="A164" s="750"/>
      <c r="B164" s="750"/>
      <c r="C164" s="750"/>
      <c r="D164" s="750"/>
      <c r="E164" s="750"/>
      <c r="F164" s="750"/>
      <c r="G164" s="750"/>
      <c r="H164" s="750"/>
      <c r="I164" s="750"/>
      <c r="J164" s="750"/>
      <c r="K164" s="750"/>
      <c r="L164" s="750"/>
      <c r="M164" s="750"/>
      <c r="N164" s="750"/>
    </row>
    <row r="165" spans="1:14" x14ac:dyDescent="0.25">
      <c r="A165" s="750"/>
      <c r="B165" s="750"/>
      <c r="C165" s="750"/>
      <c r="D165" s="750"/>
      <c r="E165" s="750"/>
      <c r="F165" s="750"/>
      <c r="G165" s="750"/>
      <c r="H165" s="750"/>
      <c r="I165" s="750"/>
      <c r="J165" s="750"/>
      <c r="K165" s="750"/>
      <c r="L165" s="750"/>
      <c r="M165" s="750"/>
      <c r="N165" s="750"/>
    </row>
    <row r="166" spans="1:14" x14ac:dyDescent="0.25">
      <c r="A166" s="750"/>
      <c r="B166" s="750"/>
      <c r="C166" s="750"/>
      <c r="D166" s="750"/>
      <c r="E166" s="750"/>
      <c r="F166" s="750"/>
      <c r="G166" s="750"/>
      <c r="H166" s="750"/>
      <c r="I166" s="750"/>
      <c r="J166" s="750"/>
      <c r="K166" s="750"/>
      <c r="L166" s="750"/>
      <c r="M166" s="750"/>
      <c r="N166" s="750"/>
    </row>
    <row r="167" spans="1:14" x14ac:dyDescent="0.25">
      <c r="A167" s="750"/>
      <c r="B167" s="750"/>
      <c r="C167" s="750"/>
      <c r="D167" s="750"/>
      <c r="E167" s="750"/>
      <c r="F167" s="750"/>
      <c r="G167" s="750"/>
      <c r="H167" s="750"/>
      <c r="I167" s="750"/>
      <c r="J167" s="750"/>
      <c r="K167" s="750"/>
      <c r="L167" s="750"/>
      <c r="M167" s="750"/>
      <c r="N167" s="750"/>
    </row>
    <row r="168" spans="1:14" x14ac:dyDescent="0.25">
      <c r="A168" s="750"/>
      <c r="B168" s="750"/>
      <c r="C168" s="750"/>
      <c r="D168" s="750"/>
      <c r="E168" s="750"/>
      <c r="F168" s="750"/>
      <c r="G168" s="750"/>
      <c r="H168" s="750"/>
      <c r="I168" s="750"/>
      <c r="J168" s="750"/>
      <c r="K168" s="750"/>
      <c r="L168" s="750"/>
      <c r="M168" s="750"/>
      <c r="N168" s="750"/>
    </row>
    <row r="169" spans="1:14" x14ac:dyDescent="0.25">
      <c r="A169" s="750"/>
      <c r="B169" s="750"/>
      <c r="C169" s="750"/>
      <c r="D169" s="750"/>
      <c r="E169" s="750"/>
      <c r="F169" s="750"/>
      <c r="G169" s="750"/>
      <c r="H169" s="750"/>
      <c r="I169" s="750"/>
      <c r="J169" s="750"/>
      <c r="K169" s="750"/>
      <c r="L169" s="750"/>
      <c r="M169" s="750"/>
      <c r="N169" s="750"/>
    </row>
    <row r="170" spans="1:14" x14ac:dyDescent="0.25">
      <c r="A170" s="750"/>
      <c r="B170" s="750"/>
      <c r="C170" s="750"/>
      <c r="D170" s="750"/>
      <c r="E170" s="750"/>
      <c r="F170" s="750"/>
      <c r="G170" s="750"/>
      <c r="H170" s="750"/>
      <c r="I170" s="750"/>
      <c r="J170" s="750"/>
      <c r="K170" s="750"/>
      <c r="L170" s="750"/>
      <c r="M170" s="750"/>
      <c r="N170" s="750"/>
    </row>
    <row r="171" spans="1:14" x14ac:dyDescent="0.25">
      <c r="A171" s="750"/>
      <c r="B171" s="750"/>
      <c r="C171" s="750"/>
      <c r="D171" s="750"/>
      <c r="E171" s="750"/>
      <c r="F171" s="750"/>
      <c r="G171" s="750"/>
      <c r="H171" s="750"/>
      <c r="I171" s="750"/>
      <c r="J171" s="750"/>
      <c r="K171" s="750"/>
      <c r="L171" s="750"/>
      <c r="M171" s="750"/>
      <c r="N171" s="750"/>
    </row>
    <row r="172" spans="1:14" x14ac:dyDescent="0.25">
      <c r="A172" s="750"/>
      <c r="B172" s="750"/>
      <c r="C172" s="750"/>
      <c r="D172" s="750"/>
      <c r="E172" s="750"/>
      <c r="F172" s="750"/>
      <c r="G172" s="750"/>
      <c r="H172" s="750"/>
      <c r="I172" s="750"/>
      <c r="J172" s="750"/>
      <c r="K172" s="750"/>
      <c r="L172" s="750"/>
      <c r="M172" s="750"/>
      <c r="N172" s="750"/>
    </row>
    <row r="173" spans="1:14" x14ac:dyDescent="0.25">
      <c r="A173" s="750"/>
      <c r="B173" s="750"/>
      <c r="C173" s="750"/>
      <c r="D173" s="750"/>
      <c r="E173" s="750"/>
      <c r="F173" s="750"/>
      <c r="G173" s="750"/>
      <c r="H173" s="750"/>
      <c r="I173" s="750"/>
      <c r="J173" s="750"/>
      <c r="K173" s="750"/>
      <c r="L173" s="750"/>
      <c r="M173" s="750"/>
      <c r="N173" s="750"/>
    </row>
    <row r="174" spans="1:14" x14ac:dyDescent="0.25">
      <c r="A174" s="750"/>
      <c r="B174" s="750"/>
      <c r="C174" s="750"/>
      <c r="D174" s="750"/>
      <c r="E174" s="750"/>
      <c r="F174" s="750"/>
      <c r="G174" s="750"/>
      <c r="H174" s="750"/>
      <c r="I174" s="750"/>
      <c r="J174" s="750"/>
      <c r="K174" s="750"/>
      <c r="L174" s="750"/>
      <c r="M174" s="750"/>
      <c r="N174" s="750"/>
    </row>
    <row r="175" spans="1:14" x14ac:dyDescent="0.25">
      <c r="A175" s="750"/>
      <c r="B175" s="750"/>
      <c r="C175" s="750"/>
      <c r="D175" s="750"/>
      <c r="E175" s="750"/>
      <c r="F175" s="750"/>
      <c r="G175" s="750"/>
      <c r="H175" s="750"/>
      <c r="I175" s="750"/>
      <c r="J175" s="750"/>
      <c r="K175" s="750"/>
      <c r="L175" s="750"/>
      <c r="M175" s="750"/>
      <c r="N175" s="750"/>
    </row>
    <row r="176" spans="1:14" x14ac:dyDescent="0.25">
      <c r="A176" s="750"/>
      <c r="B176" s="750"/>
      <c r="C176" s="750"/>
      <c r="D176" s="750"/>
      <c r="E176" s="750"/>
      <c r="F176" s="750"/>
      <c r="G176" s="750"/>
      <c r="H176" s="750"/>
      <c r="I176" s="750"/>
      <c r="J176" s="750"/>
      <c r="K176" s="750"/>
      <c r="L176" s="750"/>
      <c r="M176" s="750"/>
      <c r="N176" s="750"/>
    </row>
    <row r="177" spans="1:14" x14ac:dyDescent="0.25">
      <c r="A177" s="750"/>
      <c r="B177" s="750"/>
      <c r="C177" s="750"/>
      <c r="D177" s="750"/>
      <c r="E177" s="750"/>
      <c r="F177" s="750"/>
      <c r="G177" s="750"/>
      <c r="H177" s="750"/>
      <c r="I177" s="750"/>
      <c r="J177" s="750"/>
      <c r="K177" s="750"/>
      <c r="L177" s="750"/>
      <c r="M177" s="750"/>
      <c r="N177" s="750"/>
    </row>
    <row r="178" spans="1:14" x14ac:dyDescent="0.25">
      <c r="A178" s="750"/>
      <c r="B178" s="750"/>
      <c r="C178" s="750"/>
      <c r="D178" s="750"/>
      <c r="E178" s="750"/>
      <c r="F178" s="750"/>
      <c r="G178" s="750"/>
      <c r="H178" s="750"/>
      <c r="I178" s="750"/>
      <c r="J178" s="750"/>
      <c r="K178" s="750"/>
      <c r="L178" s="750"/>
      <c r="M178" s="750"/>
      <c r="N178" s="750"/>
    </row>
    <row r="179" spans="1:14" x14ac:dyDescent="0.25">
      <c r="A179" s="750"/>
      <c r="B179" s="750"/>
      <c r="C179" s="750"/>
      <c r="D179" s="750"/>
      <c r="E179" s="750"/>
      <c r="F179" s="750"/>
      <c r="G179" s="750"/>
      <c r="H179" s="750"/>
      <c r="I179" s="750"/>
      <c r="J179" s="750"/>
      <c r="K179" s="750"/>
      <c r="L179" s="750"/>
      <c r="M179" s="750"/>
      <c r="N179" s="750"/>
    </row>
    <row r="180" spans="1:14" x14ac:dyDescent="0.25">
      <c r="A180" s="750"/>
      <c r="B180" s="750"/>
      <c r="C180" s="750"/>
      <c r="D180" s="750"/>
      <c r="E180" s="750"/>
      <c r="F180" s="750"/>
      <c r="G180" s="750"/>
      <c r="H180" s="750"/>
      <c r="I180" s="750"/>
      <c r="J180" s="750"/>
      <c r="K180" s="750"/>
      <c r="L180" s="750"/>
      <c r="M180" s="750"/>
      <c r="N180" s="750"/>
    </row>
    <row r="181" spans="1:14" x14ac:dyDescent="0.25">
      <c r="A181" s="750"/>
      <c r="B181" s="750"/>
      <c r="C181" s="750"/>
      <c r="D181" s="750"/>
      <c r="E181" s="750"/>
      <c r="F181" s="750"/>
      <c r="G181" s="750"/>
      <c r="H181" s="750"/>
      <c r="I181" s="750"/>
      <c r="J181" s="750"/>
      <c r="K181" s="750"/>
      <c r="L181" s="750"/>
      <c r="M181" s="750"/>
      <c r="N181" s="750"/>
    </row>
    <row r="182" spans="1:14" x14ac:dyDescent="0.25">
      <c r="A182" s="750"/>
      <c r="B182" s="750"/>
      <c r="C182" s="750"/>
      <c r="D182" s="750"/>
      <c r="E182" s="750"/>
      <c r="F182" s="750"/>
      <c r="G182" s="750"/>
      <c r="H182" s="750"/>
      <c r="I182" s="750"/>
      <c r="J182" s="750"/>
      <c r="K182" s="750"/>
      <c r="L182" s="750"/>
      <c r="M182" s="750"/>
      <c r="N182" s="750"/>
    </row>
    <row r="183" spans="1:14" x14ac:dyDescent="0.25">
      <c r="A183" s="750"/>
      <c r="B183" s="750"/>
      <c r="C183" s="750"/>
      <c r="D183" s="750"/>
      <c r="E183" s="750"/>
      <c r="F183" s="750"/>
      <c r="G183" s="750"/>
      <c r="H183" s="750"/>
      <c r="I183" s="750"/>
      <c r="J183" s="750"/>
      <c r="K183" s="750"/>
      <c r="L183" s="750"/>
      <c r="M183" s="750"/>
      <c r="N183" s="750"/>
    </row>
    <row r="184" spans="1:14" x14ac:dyDescent="0.25">
      <c r="A184" s="750"/>
      <c r="B184" s="750"/>
      <c r="C184" s="750"/>
      <c r="D184" s="750"/>
      <c r="E184" s="750"/>
      <c r="F184" s="750"/>
      <c r="G184" s="750"/>
      <c r="H184" s="750"/>
      <c r="I184" s="750"/>
      <c r="J184" s="750"/>
      <c r="K184" s="750"/>
      <c r="L184" s="750"/>
      <c r="M184" s="750"/>
      <c r="N184" s="750"/>
    </row>
    <row r="185" spans="1:14" x14ac:dyDescent="0.25">
      <c r="A185" s="750"/>
      <c r="B185" s="750"/>
      <c r="C185" s="750"/>
      <c r="D185" s="750"/>
      <c r="E185" s="750"/>
      <c r="F185" s="750"/>
      <c r="G185" s="750"/>
      <c r="H185" s="750"/>
      <c r="I185" s="750"/>
      <c r="J185" s="750"/>
      <c r="K185" s="750"/>
      <c r="L185" s="750"/>
      <c r="M185" s="750"/>
      <c r="N185" s="750"/>
    </row>
    <row r="186" spans="1:14" x14ac:dyDescent="0.25">
      <c r="A186" s="750"/>
      <c r="B186" s="750"/>
      <c r="C186" s="750"/>
      <c r="D186" s="750"/>
      <c r="E186" s="750"/>
      <c r="F186" s="750"/>
      <c r="G186" s="750"/>
      <c r="H186" s="750"/>
      <c r="I186" s="750"/>
      <c r="J186" s="750"/>
      <c r="K186" s="750"/>
      <c r="L186" s="750"/>
      <c r="M186" s="750"/>
      <c r="N186" s="750"/>
    </row>
    <row r="187" spans="1:14" x14ac:dyDescent="0.25">
      <c r="A187" s="750"/>
      <c r="B187" s="750"/>
      <c r="C187" s="750"/>
      <c r="D187" s="750"/>
      <c r="E187" s="750"/>
      <c r="F187" s="750"/>
      <c r="G187" s="750"/>
      <c r="H187" s="750"/>
      <c r="I187" s="750"/>
      <c r="J187" s="750"/>
      <c r="K187" s="750"/>
      <c r="L187" s="750"/>
      <c r="M187" s="750"/>
      <c r="N187" s="750"/>
    </row>
    <row r="188" spans="1:14" x14ac:dyDescent="0.25">
      <c r="A188" s="750"/>
      <c r="B188" s="750"/>
      <c r="C188" s="750"/>
      <c r="D188" s="750"/>
      <c r="E188" s="750"/>
      <c r="F188" s="750"/>
      <c r="G188" s="750"/>
      <c r="H188" s="750"/>
      <c r="I188" s="750"/>
      <c r="J188" s="750"/>
      <c r="K188" s="750"/>
      <c r="L188" s="750"/>
      <c r="M188" s="750"/>
      <c r="N188" s="750"/>
    </row>
    <row r="189" spans="1:14" x14ac:dyDescent="0.25">
      <c r="A189" s="750"/>
      <c r="B189" s="750"/>
      <c r="C189" s="750"/>
      <c r="D189" s="750"/>
      <c r="E189" s="750"/>
      <c r="F189" s="750"/>
      <c r="G189" s="750"/>
      <c r="H189" s="750"/>
      <c r="I189" s="750"/>
      <c r="J189" s="750"/>
      <c r="K189" s="750"/>
      <c r="L189" s="750"/>
      <c r="M189" s="750"/>
      <c r="N189" s="750"/>
    </row>
    <row r="190" spans="1:14" x14ac:dyDescent="0.25">
      <c r="A190" s="750"/>
      <c r="B190" s="750"/>
      <c r="C190" s="750"/>
      <c r="D190" s="750"/>
      <c r="E190" s="750"/>
      <c r="F190" s="750"/>
      <c r="G190" s="750"/>
      <c r="H190" s="750"/>
      <c r="I190" s="750"/>
      <c r="J190" s="750"/>
      <c r="K190" s="750"/>
      <c r="L190" s="750"/>
      <c r="M190" s="750"/>
      <c r="N190" s="750"/>
    </row>
    <row r="191" spans="1:14" x14ac:dyDescent="0.25">
      <c r="A191" s="750"/>
      <c r="B191" s="750"/>
      <c r="C191" s="750"/>
      <c r="D191" s="750"/>
      <c r="E191" s="750"/>
      <c r="F191" s="750"/>
      <c r="G191" s="750"/>
      <c r="H191" s="750"/>
      <c r="I191" s="750"/>
      <c r="J191" s="750"/>
      <c r="K191" s="750"/>
      <c r="L191" s="750"/>
      <c r="M191" s="750"/>
      <c r="N191" s="750"/>
    </row>
    <row r="192" spans="1:14" x14ac:dyDescent="0.25">
      <c r="A192" s="750"/>
      <c r="B192" s="750"/>
      <c r="C192" s="750"/>
      <c r="D192" s="750"/>
      <c r="E192" s="750"/>
      <c r="F192" s="750"/>
      <c r="G192" s="750"/>
      <c r="H192" s="750"/>
      <c r="I192" s="750"/>
      <c r="J192" s="750"/>
      <c r="K192" s="750"/>
      <c r="L192" s="750"/>
      <c r="M192" s="750"/>
      <c r="N192" s="750"/>
    </row>
    <row r="193" spans="1:14" x14ac:dyDescent="0.25">
      <c r="A193" s="750"/>
      <c r="B193" s="750"/>
      <c r="C193" s="750"/>
      <c r="D193" s="750"/>
      <c r="E193" s="750"/>
      <c r="F193" s="750"/>
      <c r="G193" s="750"/>
      <c r="H193" s="750"/>
      <c r="I193" s="750"/>
      <c r="J193" s="750"/>
      <c r="K193" s="750"/>
      <c r="L193" s="750"/>
      <c r="M193" s="750"/>
      <c r="N193" s="750"/>
    </row>
    <row r="194" spans="1:14" x14ac:dyDescent="0.25">
      <c r="A194" s="750"/>
      <c r="B194" s="750"/>
      <c r="C194" s="750"/>
      <c r="D194" s="750"/>
      <c r="E194" s="750"/>
      <c r="F194" s="750"/>
      <c r="G194" s="750"/>
      <c r="H194" s="750"/>
      <c r="I194" s="750"/>
      <c r="J194" s="750"/>
      <c r="K194" s="750"/>
      <c r="L194" s="750"/>
      <c r="M194" s="750"/>
      <c r="N194" s="750"/>
    </row>
    <row r="195" spans="1:14" x14ac:dyDescent="0.25">
      <c r="A195" s="750"/>
      <c r="B195" s="750"/>
      <c r="C195" s="750"/>
      <c r="D195" s="750"/>
      <c r="E195" s="750"/>
      <c r="F195" s="750"/>
      <c r="G195" s="750"/>
      <c r="H195" s="750"/>
      <c r="I195" s="750"/>
      <c r="J195" s="750"/>
      <c r="K195" s="750"/>
      <c r="L195" s="750"/>
      <c r="M195" s="750"/>
      <c r="N195" s="750"/>
    </row>
    <row r="196" spans="1:14" x14ac:dyDescent="0.25">
      <c r="A196" s="750"/>
      <c r="B196" s="750"/>
      <c r="C196" s="750"/>
      <c r="D196" s="750"/>
      <c r="E196" s="750"/>
      <c r="F196" s="750"/>
      <c r="G196" s="750"/>
      <c r="H196" s="750"/>
      <c r="I196" s="750"/>
      <c r="J196" s="750"/>
      <c r="K196" s="750"/>
      <c r="L196" s="750"/>
      <c r="M196" s="750"/>
      <c r="N196" s="750"/>
    </row>
    <row r="197" spans="1:14" x14ac:dyDescent="0.25">
      <c r="A197" s="750"/>
      <c r="B197" s="750"/>
      <c r="C197" s="750"/>
      <c r="D197" s="750"/>
      <c r="E197" s="750"/>
      <c r="F197" s="750"/>
      <c r="G197" s="750"/>
      <c r="H197" s="750"/>
      <c r="I197" s="750"/>
      <c r="J197" s="750"/>
      <c r="K197" s="750"/>
      <c r="L197" s="750"/>
      <c r="M197" s="750"/>
      <c r="N197" s="750"/>
    </row>
    <row r="198" spans="1:14" x14ac:dyDescent="0.25">
      <c r="A198" s="750"/>
      <c r="B198" s="750"/>
      <c r="C198" s="750"/>
      <c r="D198" s="750"/>
      <c r="E198" s="750"/>
      <c r="F198" s="750"/>
      <c r="G198" s="750"/>
      <c r="H198" s="750"/>
      <c r="I198" s="750"/>
      <c r="J198" s="750"/>
      <c r="K198" s="750"/>
      <c r="L198" s="750"/>
      <c r="M198" s="750"/>
      <c r="N198" s="750"/>
    </row>
    <row r="199" spans="1:14" x14ac:dyDescent="0.25">
      <c r="A199" s="750"/>
      <c r="B199" s="750"/>
      <c r="C199" s="750"/>
      <c r="D199" s="750"/>
      <c r="E199" s="750"/>
      <c r="F199" s="750"/>
      <c r="G199" s="750"/>
      <c r="H199" s="750"/>
      <c r="I199" s="750"/>
      <c r="J199" s="750"/>
      <c r="K199" s="750"/>
      <c r="L199" s="750"/>
      <c r="M199" s="750"/>
      <c r="N199" s="750"/>
    </row>
    <row r="200" spans="1:14" x14ac:dyDescent="0.25">
      <c r="A200" s="750"/>
      <c r="B200" s="750"/>
      <c r="C200" s="750"/>
      <c r="D200" s="750"/>
      <c r="E200" s="750"/>
      <c r="F200" s="750"/>
      <c r="G200" s="750"/>
      <c r="H200" s="750"/>
      <c r="I200" s="750"/>
      <c r="J200" s="750"/>
      <c r="K200" s="750"/>
      <c r="L200" s="750"/>
      <c r="M200" s="750"/>
      <c r="N200" s="750"/>
    </row>
    <row r="201" spans="1:14" x14ac:dyDescent="0.25">
      <c r="A201" s="750"/>
      <c r="B201" s="750"/>
      <c r="C201" s="750"/>
      <c r="D201" s="750"/>
      <c r="E201" s="750"/>
      <c r="F201" s="750"/>
      <c r="G201" s="750"/>
      <c r="H201" s="750"/>
      <c r="I201" s="750"/>
      <c r="J201" s="750"/>
      <c r="K201" s="750"/>
      <c r="L201" s="750"/>
      <c r="M201" s="750"/>
      <c r="N201" s="750"/>
    </row>
    <row r="202" spans="1:14" x14ac:dyDescent="0.25">
      <c r="A202" s="750"/>
      <c r="B202" s="750"/>
      <c r="C202" s="750"/>
      <c r="D202" s="750"/>
      <c r="E202" s="750"/>
      <c r="F202" s="750"/>
      <c r="G202" s="750"/>
      <c r="H202" s="750"/>
      <c r="I202" s="750"/>
      <c r="J202" s="750"/>
      <c r="K202" s="750"/>
      <c r="L202" s="750"/>
      <c r="M202" s="750"/>
      <c r="N202" s="750"/>
    </row>
    <row r="203" spans="1:14" x14ac:dyDescent="0.25">
      <c r="A203" s="750"/>
      <c r="B203" s="750"/>
      <c r="C203" s="750"/>
      <c r="D203" s="750"/>
      <c r="E203" s="750"/>
      <c r="F203" s="750"/>
      <c r="G203" s="750"/>
      <c r="H203" s="750"/>
      <c r="I203" s="750"/>
      <c r="J203" s="750"/>
      <c r="K203" s="750"/>
      <c r="L203" s="750"/>
      <c r="M203" s="750"/>
      <c r="N203" s="750"/>
    </row>
    <row r="204" spans="1:14" x14ac:dyDescent="0.25">
      <c r="A204" s="750"/>
      <c r="B204" s="750"/>
      <c r="C204" s="750"/>
      <c r="D204" s="750"/>
      <c r="E204" s="750"/>
      <c r="F204" s="750"/>
      <c r="G204" s="750"/>
      <c r="H204" s="750"/>
      <c r="I204" s="750"/>
      <c r="J204" s="750"/>
      <c r="K204" s="750"/>
      <c r="L204" s="750"/>
      <c r="M204" s="750"/>
      <c r="N204" s="750"/>
    </row>
    <row r="205" spans="1:14" x14ac:dyDescent="0.25">
      <c r="A205" s="750"/>
      <c r="B205" s="750"/>
      <c r="C205" s="750"/>
      <c r="D205" s="750"/>
      <c r="E205" s="750"/>
      <c r="F205" s="750"/>
      <c r="G205" s="750"/>
      <c r="H205" s="750"/>
      <c r="I205" s="750"/>
      <c r="J205" s="750"/>
      <c r="K205" s="750"/>
      <c r="L205" s="750"/>
      <c r="M205" s="750"/>
      <c r="N205" s="750"/>
    </row>
    <row r="206" spans="1:14" x14ac:dyDescent="0.25">
      <c r="A206" s="750"/>
      <c r="B206" s="750"/>
      <c r="C206" s="750"/>
      <c r="D206" s="750"/>
      <c r="E206" s="750"/>
      <c r="F206" s="750"/>
      <c r="G206" s="750"/>
      <c r="H206" s="750"/>
      <c r="I206" s="750"/>
      <c r="J206" s="750"/>
      <c r="K206" s="750"/>
      <c r="L206" s="750"/>
      <c r="M206" s="750"/>
      <c r="N206" s="750"/>
    </row>
    <row r="207" spans="1:14" x14ac:dyDescent="0.25">
      <c r="A207" s="750"/>
      <c r="B207" s="750"/>
      <c r="C207" s="750"/>
      <c r="D207" s="750"/>
      <c r="E207" s="750"/>
      <c r="F207" s="750"/>
      <c r="G207" s="750"/>
      <c r="H207" s="750"/>
      <c r="I207" s="750"/>
      <c r="J207" s="750"/>
      <c r="K207" s="750"/>
      <c r="L207" s="750"/>
      <c r="M207" s="750"/>
      <c r="N207" s="750"/>
    </row>
    <row r="208" spans="1:14" x14ac:dyDescent="0.25">
      <c r="A208" s="750"/>
      <c r="B208" s="750"/>
      <c r="C208" s="750"/>
      <c r="D208" s="750"/>
      <c r="E208" s="750"/>
      <c r="F208" s="750"/>
      <c r="G208" s="750"/>
      <c r="H208" s="750"/>
      <c r="I208" s="750"/>
      <c r="J208" s="750"/>
      <c r="K208" s="750"/>
      <c r="L208" s="750"/>
      <c r="M208" s="750"/>
      <c r="N208" s="750"/>
    </row>
    <row r="209" spans="1:14" x14ac:dyDescent="0.25">
      <c r="A209" s="750"/>
      <c r="B209" s="750"/>
      <c r="C209" s="750"/>
      <c r="D209" s="750"/>
      <c r="E209" s="750"/>
      <c r="F209" s="750"/>
      <c r="G209" s="750"/>
      <c r="H209" s="750"/>
      <c r="I209" s="750"/>
      <c r="J209" s="751"/>
      <c r="K209" s="751"/>
      <c r="L209" s="751"/>
      <c r="M209" s="751"/>
      <c r="N209" s="751"/>
    </row>
    <row r="210" spans="1:14" x14ac:dyDescent="0.25">
      <c r="A210" s="750"/>
      <c r="B210" s="750"/>
      <c r="C210" s="750"/>
      <c r="D210" s="750"/>
      <c r="E210" s="750"/>
      <c r="F210" s="750"/>
      <c r="G210" s="750"/>
      <c r="H210" s="750"/>
      <c r="I210" s="750"/>
    </row>
    <row r="211" spans="1:14" x14ac:dyDescent="0.25">
      <c r="A211" s="750"/>
      <c r="B211" s="750"/>
      <c r="C211" s="750"/>
      <c r="D211" s="750"/>
      <c r="E211" s="750"/>
      <c r="F211" s="750"/>
      <c r="G211" s="750"/>
      <c r="H211" s="750"/>
      <c r="I211" s="750"/>
    </row>
    <row r="212" spans="1:14" x14ac:dyDescent="0.25">
      <c r="A212" s="750"/>
      <c r="B212" s="750"/>
      <c r="C212" s="750"/>
      <c r="D212" s="750"/>
      <c r="E212" s="750"/>
      <c r="F212" s="750"/>
      <c r="G212" s="750"/>
      <c r="H212" s="750"/>
      <c r="I212" s="750"/>
    </row>
    <row r="213" spans="1:14" x14ac:dyDescent="0.25">
      <c r="A213" s="750"/>
      <c r="B213" s="750"/>
      <c r="C213" s="750"/>
      <c r="D213" s="750"/>
      <c r="E213" s="750"/>
      <c r="F213" s="750"/>
      <c r="G213" s="750"/>
      <c r="H213" s="750"/>
      <c r="I213" s="750"/>
    </row>
    <row r="214" spans="1:14" x14ac:dyDescent="0.25">
      <c r="A214" s="750"/>
      <c r="B214" s="750"/>
      <c r="C214" s="750"/>
      <c r="D214" s="750"/>
      <c r="E214" s="750"/>
      <c r="F214" s="750"/>
      <c r="G214" s="750"/>
      <c r="H214" s="750"/>
      <c r="I214" s="750"/>
    </row>
    <row r="215" spans="1:14" x14ac:dyDescent="0.25">
      <c r="A215" s="750"/>
      <c r="B215" s="750"/>
      <c r="C215" s="750"/>
      <c r="D215" s="750"/>
      <c r="E215" s="750"/>
      <c r="F215" s="750"/>
      <c r="G215" s="750"/>
      <c r="H215" s="750"/>
      <c r="I215" s="750"/>
    </row>
    <row r="216" spans="1:14" x14ac:dyDescent="0.25">
      <c r="A216" s="750"/>
      <c r="B216" s="750"/>
      <c r="C216" s="750"/>
      <c r="D216" s="750"/>
      <c r="E216" s="750"/>
      <c r="F216" s="750"/>
      <c r="G216" s="750"/>
      <c r="H216" s="750"/>
      <c r="I216" s="750"/>
    </row>
    <row r="217" spans="1:14" x14ac:dyDescent="0.25">
      <c r="A217" s="750"/>
      <c r="B217" s="750"/>
      <c r="C217" s="750"/>
      <c r="D217" s="750"/>
      <c r="E217" s="750"/>
      <c r="F217" s="750"/>
      <c r="G217" s="750"/>
      <c r="H217" s="750"/>
      <c r="I217" s="750"/>
    </row>
    <row r="218" spans="1:14" x14ac:dyDescent="0.25">
      <c r="A218" s="750"/>
      <c r="B218" s="750"/>
      <c r="C218" s="750"/>
      <c r="D218" s="750"/>
      <c r="E218" s="750"/>
      <c r="F218" s="750"/>
      <c r="G218" s="750"/>
      <c r="H218" s="750"/>
      <c r="I218" s="750"/>
    </row>
    <row r="219" spans="1:14" x14ac:dyDescent="0.25">
      <c r="A219" s="750"/>
      <c r="B219" s="750"/>
      <c r="C219" s="750"/>
      <c r="D219" s="750"/>
      <c r="E219" s="750"/>
      <c r="F219" s="750"/>
      <c r="G219" s="750"/>
      <c r="H219" s="750"/>
      <c r="I219" s="750"/>
    </row>
    <row r="220" spans="1:14" x14ac:dyDescent="0.25">
      <c r="A220" s="750"/>
      <c r="B220" s="750"/>
      <c r="C220" s="750"/>
      <c r="D220" s="750"/>
      <c r="E220" s="750"/>
      <c r="F220" s="750"/>
      <c r="G220" s="750"/>
      <c r="H220" s="750"/>
      <c r="I220" s="750"/>
    </row>
    <row r="221" spans="1:14" x14ac:dyDescent="0.25">
      <c r="A221" s="750"/>
      <c r="B221" s="750"/>
      <c r="C221" s="750"/>
      <c r="D221" s="750"/>
      <c r="E221" s="750"/>
      <c r="F221" s="750"/>
      <c r="G221" s="750"/>
      <c r="H221" s="750"/>
      <c r="I221" s="750"/>
    </row>
    <row r="222" spans="1:14" x14ac:dyDescent="0.25">
      <c r="A222" s="750"/>
      <c r="B222" s="750"/>
      <c r="C222" s="750"/>
      <c r="D222" s="750"/>
      <c r="E222" s="750"/>
      <c r="F222" s="750"/>
      <c r="G222" s="750"/>
      <c r="H222" s="750"/>
      <c r="I222" s="750"/>
    </row>
    <row r="223" spans="1:14" x14ac:dyDescent="0.25">
      <c r="A223" s="750"/>
      <c r="B223" s="750"/>
      <c r="C223" s="750"/>
      <c r="D223" s="750"/>
      <c r="E223" s="750"/>
      <c r="F223" s="750"/>
      <c r="G223" s="750"/>
      <c r="H223" s="750"/>
      <c r="I223" s="750"/>
    </row>
    <row r="224" spans="1:14" x14ac:dyDescent="0.25">
      <c r="A224" s="750"/>
      <c r="B224" s="750"/>
      <c r="C224" s="750"/>
      <c r="D224" s="750"/>
      <c r="E224" s="750"/>
      <c r="F224" s="750"/>
      <c r="G224" s="750"/>
      <c r="H224" s="750"/>
      <c r="I224" s="750"/>
    </row>
    <row r="225" spans="1:9" x14ac:dyDescent="0.25">
      <c r="A225" s="750"/>
      <c r="B225" s="750"/>
      <c r="C225" s="750"/>
      <c r="D225" s="750"/>
      <c r="E225" s="750"/>
      <c r="F225" s="750"/>
      <c r="G225" s="750"/>
      <c r="H225" s="750"/>
      <c r="I225" s="750"/>
    </row>
    <row r="226" spans="1:9" x14ac:dyDescent="0.25">
      <c r="A226" s="750"/>
      <c r="B226" s="750"/>
      <c r="C226" s="750"/>
      <c r="D226" s="750"/>
      <c r="E226" s="750"/>
      <c r="F226" s="750"/>
      <c r="G226" s="750"/>
      <c r="H226" s="750"/>
      <c r="I226" s="750"/>
    </row>
    <row r="227" spans="1:9" x14ac:dyDescent="0.25">
      <c r="A227" s="750"/>
      <c r="B227" s="750"/>
      <c r="C227" s="750"/>
      <c r="D227" s="750"/>
      <c r="E227" s="750"/>
      <c r="F227" s="750"/>
      <c r="G227" s="750"/>
      <c r="H227" s="750"/>
      <c r="I227" s="750"/>
    </row>
    <row r="228" spans="1:9" x14ac:dyDescent="0.25">
      <c r="A228" s="750"/>
      <c r="B228" s="750"/>
      <c r="C228" s="750"/>
      <c r="D228" s="750"/>
      <c r="E228" s="750"/>
      <c r="F228" s="750"/>
      <c r="G228" s="750"/>
      <c r="H228" s="750"/>
      <c r="I228" s="750"/>
    </row>
    <row r="229" spans="1:9" x14ac:dyDescent="0.25">
      <c r="A229" s="750"/>
      <c r="B229" s="750"/>
      <c r="C229" s="750"/>
      <c r="D229" s="750"/>
      <c r="E229" s="750"/>
      <c r="F229" s="750"/>
      <c r="G229" s="750"/>
      <c r="H229" s="750"/>
      <c r="I229" s="750"/>
    </row>
    <row r="230" spans="1:9" x14ac:dyDescent="0.25">
      <c r="A230" s="750"/>
      <c r="B230" s="750"/>
      <c r="C230" s="750"/>
      <c r="D230" s="750"/>
      <c r="E230" s="750"/>
      <c r="F230" s="750"/>
      <c r="G230" s="750"/>
      <c r="H230" s="750"/>
      <c r="I230" s="750"/>
    </row>
    <row r="231" spans="1:9" x14ac:dyDescent="0.25">
      <c r="A231" s="750"/>
      <c r="B231" s="750"/>
      <c r="C231" s="750"/>
      <c r="D231" s="750"/>
      <c r="E231" s="750"/>
      <c r="F231" s="750"/>
      <c r="G231" s="750"/>
      <c r="H231" s="750"/>
      <c r="I231" s="750"/>
    </row>
    <row r="232" spans="1:9" x14ac:dyDescent="0.25">
      <c r="A232" s="750"/>
      <c r="B232" s="750"/>
      <c r="C232" s="750"/>
      <c r="D232" s="750"/>
      <c r="E232" s="750"/>
      <c r="F232" s="750"/>
      <c r="G232" s="750"/>
      <c r="H232" s="750"/>
      <c r="I232" s="750"/>
    </row>
    <row r="233" spans="1:9" x14ac:dyDescent="0.25">
      <c r="A233" s="750"/>
      <c r="B233" s="750"/>
      <c r="C233" s="750"/>
      <c r="D233" s="750"/>
      <c r="E233" s="750"/>
      <c r="F233" s="750"/>
      <c r="G233" s="750"/>
      <c r="H233" s="750"/>
      <c r="I233" s="750"/>
    </row>
    <row r="234" spans="1:9" x14ac:dyDescent="0.25">
      <c r="A234" s="750"/>
      <c r="B234" s="750"/>
      <c r="C234" s="750"/>
      <c r="D234" s="750"/>
      <c r="E234" s="750"/>
      <c r="F234" s="750"/>
      <c r="G234" s="750"/>
      <c r="H234" s="750"/>
      <c r="I234" s="750"/>
    </row>
    <row r="235" spans="1:9" x14ac:dyDescent="0.25">
      <c r="A235" s="750"/>
      <c r="B235" s="750"/>
      <c r="C235" s="750"/>
      <c r="D235" s="750"/>
      <c r="E235" s="750"/>
      <c r="F235" s="750"/>
      <c r="G235" s="750"/>
      <c r="H235" s="750"/>
      <c r="I235" s="750"/>
    </row>
    <row r="236" spans="1:9" x14ac:dyDescent="0.25">
      <c r="A236" s="750"/>
      <c r="B236" s="750"/>
      <c r="C236" s="750"/>
      <c r="D236" s="750"/>
      <c r="E236" s="750"/>
      <c r="F236" s="750"/>
      <c r="G236" s="750"/>
      <c r="H236" s="750"/>
      <c r="I236" s="750"/>
    </row>
    <row r="237" spans="1:9" x14ac:dyDescent="0.25">
      <c r="A237" s="750"/>
      <c r="B237" s="750"/>
      <c r="C237" s="750"/>
      <c r="D237" s="750"/>
      <c r="E237" s="750"/>
      <c r="F237" s="750"/>
      <c r="G237" s="750"/>
      <c r="H237" s="750"/>
      <c r="I237" s="750"/>
    </row>
    <row r="238" spans="1:9" x14ac:dyDescent="0.25">
      <c r="A238" s="750"/>
      <c r="B238" s="750"/>
      <c r="C238" s="750"/>
      <c r="D238" s="750"/>
      <c r="E238" s="750"/>
      <c r="F238" s="750"/>
      <c r="G238" s="750"/>
      <c r="H238" s="750"/>
      <c r="I238" s="750"/>
    </row>
    <row r="239" spans="1:9" x14ac:dyDescent="0.25">
      <c r="A239" s="750"/>
      <c r="B239" s="750"/>
      <c r="C239" s="750"/>
      <c r="D239" s="750"/>
      <c r="E239" s="750"/>
      <c r="F239" s="750"/>
      <c r="G239" s="750"/>
      <c r="H239" s="750"/>
      <c r="I239" s="750"/>
    </row>
    <row r="240" spans="1:9" x14ac:dyDescent="0.25">
      <c r="A240" s="750"/>
      <c r="B240" s="750"/>
      <c r="C240" s="750"/>
      <c r="D240" s="750"/>
      <c r="E240" s="750"/>
      <c r="F240" s="750"/>
      <c r="G240" s="750"/>
      <c r="H240" s="750"/>
      <c r="I240" s="750"/>
    </row>
    <row r="241" spans="1:9" x14ac:dyDescent="0.25">
      <c r="A241" s="750"/>
      <c r="B241" s="750"/>
      <c r="C241" s="750"/>
      <c r="D241" s="750"/>
      <c r="E241" s="750"/>
      <c r="F241" s="750"/>
      <c r="G241" s="750"/>
      <c r="H241" s="750"/>
      <c r="I241" s="750"/>
    </row>
    <row r="242" spans="1:9" x14ac:dyDescent="0.25">
      <c r="A242" s="750"/>
      <c r="B242" s="750"/>
      <c r="C242" s="750"/>
      <c r="D242" s="750"/>
      <c r="E242" s="750"/>
      <c r="F242" s="750"/>
      <c r="G242" s="750"/>
      <c r="H242" s="750"/>
      <c r="I242" s="750"/>
    </row>
    <row r="243" spans="1:9" x14ac:dyDescent="0.25">
      <c r="A243" s="750"/>
      <c r="B243" s="750"/>
      <c r="C243" s="750"/>
      <c r="D243" s="750"/>
      <c r="E243" s="750"/>
      <c r="F243" s="750"/>
      <c r="G243" s="750"/>
      <c r="H243" s="750"/>
      <c r="I243" s="750"/>
    </row>
    <row r="244" spans="1:9" x14ac:dyDescent="0.25">
      <c r="A244" s="750"/>
      <c r="B244" s="750"/>
      <c r="C244" s="750"/>
      <c r="D244" s="750"/>
      <c r="E244" s="750"/>
      <c r="F244" s="750"/>
      <c r="G244" s="750"/>
      <c r="H244" s="750"/>
      <c r="I244" s="750"/>
    </row>
    <row r="245" spans="1:9" x14ac:dyDescent="0.25">
      <c r="A245" s="750"/>
      <c r="B245" s="750"/>
      <c r="C245" s="750"/>
      <c r="D245" s="750"/>
      <c r="E245" s="750"/>
      <c r="F245" s="750"/>
      <c r="G245" s="750"/>
      <c r="H245" s="750"/>
      <c r="I245" s="750"/>
    </row>
    <row r="246" spans="1:9" x14ac:dyDescent="0.25">
      <c r="A246" s="750"/>
      <c r="B246" s="750"/>
      <c r="C246" s="750"/>
      <c r="D246" s="750"/>
      <c r="E246" s="750"/>
      <c r="F246" s="750"/>
      <c r="G246" s="750"/>
      <c r="H246" s="750"/>
      <c r="I246" s="750"/>
    </row>
    <row r="247" spans="1:9" x14ac:dyDescent="0.25">
      <c r="A247" s="750"/>
      <c r="B247" s="750"/>
      <c r="C247" s="750"/>
      <c r="D247" s="750"/>
      <c r="E247" s="750"/>
      <c r="F247" s="750"/>
      <c r="G247" s="750"/>
      <c r="H247" s="750"/>
      <c r="I247" s="750"/>
    </row>
    <row r="248" spans="1:9" x14ac:dyDescent="0.25">
      <c r="A248" s="750"/>
      <c r="B248" s="750"/>
      <c r="C248" s="750"/>
      <c r="D248" s="750"/>
      <c r="E248" s="750"/>
      <c r="F248" s="750"/>
      <c r="G248" s="750"/>
      <c r="H248" s="750"/>
      <c r="I248" s="750"/>
    </row>
    <row r="249" spans="1:9" x14ac:dyDescent="0.25">
      <c r="A249" s="750"/>
      <c r="B249" s="750"/>
      <c r="C249" s="750"/>
      <c r="D249" s="750"/>
      <c r="E249" s="750"/>
      <c r="F249" s="750"/>
      <c r="G249" s="750"/>
      <c r="H249" s="750"/>
      <c r="I249" s="750"/>
    </row>
    <row r="250" spans="1:9" x14ac:dyDescent="0.25">
      <c r="A250" s="750"/>
      <c r="B250" s="750"/>
      <c r="C250" s="750"/>
      <c r="D250" s="750"/>
      <c r="E250" s="750"/>
      <c r="F250" s="750"/>
      <c r="G250" s="750"/>
      <c r="H250" s="750"/>
      <c r="I250" s="750"/>
    </row>
    <row r="251" spans="1:9" x14ac:dyDescent="0.25">
      <c r="A251" s="750"/>
      <c r="B251" s="750"/>
      <c r="C251" s="750"/>
      <c r="D251" s="750"/>
      <c r="E251" s="750"/>
      <c r="F251" s="750"/>
      <c r="G251" s="750"/>
      <c r="H251" s="750"/>
      <c r="I251" s="750"/>
    </row>
    <row r="252" spans="1:9" x14ac:dyDescent="0.25">
      <c r="A252" s="750"/>
      <c r="B252" s="750"/>
      <c r="C252" s="750"/>
      <c r="D252" s="750"/>
      <c r="E252" s="750"/>
      <c r="F252" s="750"/>
      <c r="G252" s="750"/>
      <c r="H252" s="750"/>
      <c r="I252" s="750"/>
    </row>
    <row r="253" spans="1:9" x14ac:dyDescent="0.25">
      <c r="A253" s="750"/>
      <c r="B253" s="750"/>
      <c r="C253" s="750"/>
      <c r="D253" s="750"/>
      <c r="E253" s="750"/>
      <c r="F253" s="750"/>
      <c r="G253" s="750"/>
      <c r="H253" s="750"/>
      <c r="I253" s="750"/>
    </row>
    <row r="254" spans="1:9" x14ac:dyDescent="0.25">
      <c r="A254" s="750"/>
      <c r="B254" s="750"/>
      <c r="C254" s="750"/>
      <c r="D254" s="750"/>
      <c r="E254" s="750"/>
      <c r="F254" s="750"/>
      <c r="G254" s="750"/>
      <c r="H254" s="750"/>
      <c r="I254" s="750"/>
    </row>
    <row r="255" spans="1:9" x14ac:dyDescent="0.25">
      <c r="A255" s="750"/>
      <c r="B255" s="750"/>
      <c r="C255" s="750"/>
      <c r="D255" s="750"/>
      <c r="E255" s="750"/>
      <c r="F255" s="750"/>
      <c r="G255" s="750"/>
      <c r="H255" s="750"/>
      <c r="I255" s="750"/>
    </row>
    <row r="256" spans="1:9" x14ac:dyDescent="0.25">
      <c r="A256" s="750"/>
      <c r="B256" s="750"/>
      <c r="C256" s="750"/>
      <c r="D256" s="750"/>
      <c r="E256" s="750"/>
      <c r="F256" s="750"/>
      <c r="G256" s="750"/>
      <c r="H256" s="750"/>
      <c r="I256" s="750"/>
    </row>
    <row r="257" spans="1:9" x14ac:dyDescent="0.25">
      <c r="A257" s="750"/>
      <c r="B257" s="750"/>
      <c r="C257" s="750"/>
      <c r="D257" s="750"/>
      <c r="E257" s="750"/>
      <c r="F257" s="750"/>
      <c r="G257" s="750"/>
      <c r="H257" s="750"/>
      <c r="I257" s="750"/>
    </row>
    <row r="258" spans="1:9" x14ac:dyDescent="0.25">
      <c r="A258" s="750"/>
      <c r="B258" s="750"/>
      <c r="C258" s="750"/>
      <c r="D258" s="750"/>
      <c r="E258" s="750"/>
      <c r="F258" s="750"/>
      <c r="G258" s="750"/>
      <c r="H258" s="750"/>
      <c r="I258" s="750"/>
    </row>
    <row r="259" spans="1:9" x14ac:dyDescent="0.25">
      <c r="A259" s="750"/>
      <c r="B259" s="750"/>
      <c r="C259" s="750"/>
      <c r="D259" s="750"/>
      <c r="E259" s="750"/>
      <c r="F259" s="750"/>
      <c r="G259" s="750"/>
      <c r="H259" s="750"/>
      <c r="I259" s="750"/>
    </row>
    <row r="260" spans="1:9" x14ac:dyDescent="0.25">
      <c r="A260" s="750"/>
      <c r="B260" s="750"/>
      <c r="C260" s="750"/>
      <c r="D260" s="750"/>
      <c r="E260" s="750"/>
      <c r="F260" s="750"/>
      <c r="G260" s="750"/>
      <c r="H260" s="750"/>
      <c r="I260" s="750"/>
    </row>
    <row r="261" spans="1:9" x14ac:dyDescent="0.25">
      <c r="A261" s="750"/>
      <c r="B261" s="750"/>
      <c r="C261" s="750"/>
      <c r="D261" s="750"/>
      <c r="E261" s="750"/>
      <c r="F261" s="750"/>
      <c r="G261" s="750"/>
      <c r="H261" s="750"/>
      <c r="I261" s="750"/>
    </row>
    <row r="262" spans="1:9" x14ac:dyDescent="0.25">
      <c r="A262" s="750"/>
      <c r="B262" s="750"/>
      <c r="C262" s="750"/>
      <c r="D262" s="750"/>
      <c r="E262" s="750"/>
      <c r="F262" s="750"/>
      <c r="G262" s="750"/>
      <c r="H262" s="750"/>
      <c r="I262" s="750"/>
    </row>
    <row r="263" spans="1:9" x14ac:dyDescent="0.25">
      <c r="A263" s="750"/>
      <c r="B263" s="750"/>
      <c r="C263" s="750"/>
      <c r="D263" s="750"/>
      <c r="E263" s="750"/>
      <c r="F263" s="750"/>
      <c r="G263" s="750"/>
      <c r="H263" s="750"/>
      <c r="I263" s="750"/>
    </row>
    <row r="264" spans="1:9" x14ac:dyDescent="0.25">
      <c r="A264" s="750"/>
      <c r="B264" s="750"/>
      <c r="C264" s="750"/>
      <c r="D264" s="750"/>
      <c r="E264" s="750"/>
      <c r="F264" s="750"/>
      <c r="G264" s="750"/>
      <c r="H264" s="750"/>
      <c r="I264" s="750"/>
    </row>
    <row r="265" spans="1:9" x14ac:dyDescent="0.25">
      <c r="A265" s="750"/>
      <c r="B265" s="750"/>
      <c r="C265" s="750"/>
      <c r="D265" s="750"/>
      <c r="E265" s="750"/>
      <c r="F265" s="750"/>
      <c r="G265" s="750"/>
      <c r="H265" s="750"/>
      <c r="I265" s="750"/>
    </row>
    <row r="266" spans="1:9" x14ac:dyDescent="0.25">
      <c r="A266" s="750"/>
      <c r="B266" s="750"/>
      <c r="C266" s="750"/>
      <c r="D266" s="750"/>
      <c r="E266" s="750"/>
      <c r="F266" s="750"/>
      <c r="G266" s="750"/>
      <c r="H266" s="750"/>
      <c r="I266" s="750"/>
    </row>
    <row r="267" spans="1:9" x14ac:dyDescent="0.25">
      <c r="A267" s="750"/>
      <c r="B267" s="750"/>
      <c r="C267" s="750"/>
      <c r="D267" s="750"/>
      <c r="E267" s="750"/>
      <c r="F267" s="750"/>
      <c r="G267" s="750"/>
      <c r="H267" s="750"/>
      <c r="I267" s="750"/>
    </row>
    <row r="268" spans="1:9" x14ac:dyDescent="0.25">
      <c r="A268" s="750"/>
      <c r="B268" s="750"/>
      <c r="C268" s="750"/>
      <c r="D268" s="750"/>
      <c r="E268" s="750"/>
      <c r="F268" s="750"/>
      <c r="G268" s="750"/>
      <c r="H268" s="750"/>
      <c r="I268" s="750"/>
    </row>
    <row r="269" spans="1:9" x14ac:dyDescent="0.25">
      <c r="A269" s="750"/>
      <c r="B269" s="750"/>
      <c r="C269" s="750"/>
      <c r="D269" s="750"/>
      <c r="E269" s="750"/>
      <c r="F269" s="750"/>
      <c r="G269" s="750"/>
      <c r="H269" s="750"/>
      <c r="I269" s="750"/>
    </row>
    <row r="270" spans="1:9" x14ac:dyDescent="0.25">
      <c r="A270" s="750"/>
      <c r="B270" s="750"/>
      <c r="C270" s="750"/>
      <c r="D270" s="750"/>
      <c r="E270" s="750"/>
      <c r="F270" s="750"/>
      <c r="G270" s="750"/>
      <c r="H270" s="750"/>
      <c r="I270" s="750"/>
    </row>
    <row r="271" spans="1:9" x14ac:dyDescent="0.25">
      <c r="A271" s="750"/>
      <c r="B271" s="750"/>
      <c r="C271" s="750"/>
      <c r="D271" s="750"/>
      <c r="E271" s="750"/>
      <c r="F271" s="750"/>
      <c r="G271" s="750"/>
      <c r="H271" s="750"/>
      <c r="I271" s="750"/>
    </row>
    <row r="272" spans="1:9" x14ac:dyDescent="0.25">
      <c r="A272" s="750"/>
      <c r="B272" s="750"/>
      <c r="C272" s="750"/>
      <c r="D272" s="750"/>
      <c r="E272" s="750"/>
      <c r="F272" s="750"/>
      <c r="G272" s="750"/>
      <c r="H272" s="750"/>
      <c r="I272" s="750"/>
    </row>
    <row r="273" spans="1:9" x14ac:dyDescent="0.25">
      <c r="A273" s="750"/>
      <c r="B273" s="750"/>
      <c r="C273" s="750"/>
      <c r="D273" s="750"/>
      <c r="E273" s="750"/>
      <c r="F273" s="750"/>
      <c r="G273" s="750"/>
      <c r="H273" s="750"/>
      <c r="I273" s="750"/>
    </row>
    <row r="274" spans="1:9" x14ac:dyDescent="0.25">
      <c r="A274" s="750"/>
      <c r="B274" s="750"/>
      <c r="C274" s="750"/>
      <c r="D274" s="750"/>
      <c r="E274" s="750"/>
      <c r="F274" s="750"/>
      <c r="G274" s="750"/>
      <c r="H274" s="750"/>
      <c r="I274" s="750"/>
    </row>
    <row r="275" spans="1:9" x14ac:dyDescent="0.25">
      <c r="A275" s="750"/>
      <c r="B275" s="750"/>
      <c r="C275" s="750"/>
      <c r="D275" s="750"/>
      <c r="E275" s="750"/>
      <c r="F275" s="750"/>
      <c r="G275" s="750"/>
      <c r="H275" s="750"/>
      <c r="I275" s="750"/>
    </row>
    <row r="276" spans="1:9" x14ac:dyDescent="0.25">
      <c r="A276" s="750"/>
      <c r="B276" s="750"/>
      <c r="C276" s="750"/>
      <c r="D276" s="750"/>
      <c r="E276" s="750"/>
      <c r="F276" s="750"/>
      <c r="G276" s="750"/>
      <c r="H276" s="750"/>
      <c r="I276" s="750"/>
    </row>
    <row r="277" spans="1:9" x14ac:dyDescent="0.25">
      <c r="A277" s="750"/>
      <c r="B277" s="750"/>
      <c r="C277" s="750"/>
      <c r="D277" s="750"/>
      <c r="E277" s="750"/>
      <c r="F277" s="750"/>
      <c r="G277" s="750"/>
      <c r="H277" s="750"/>
      <c r="I277" s="750"/>
    </row>
    <row r="278" spans="1:9" x14ac:dyDescent="0.25">
      <c r="A278" s="750"/>
      <c r="B278" s="750"/>
      <c r="C278" s="750"/>
      <c r="D278" s="750"/>
      <c r="E278" s="750"/>
      <c r="F278" s="750"/>
      <c r="G278" s="750"/>
      <c r="H278" s="750"/>
      <c r="I278" s="750"/>
    </row>
    <row r="279" spans="1:9" x14ac:dyDescent="0.25">
      <c r="A279" s="750"/>
      <c r="B279" s="750"/>
      <c r="C279" s="750"/>
      <c r="D279" s="750"/>
      <c r="E279" s="750"/>
      <c r="F279" s="750"/>
      <c r="G279" s="750"/>
      <c r="H279" s="750"/>
      <c r="I279" s="750"/>
    </row>
    <row r="280" spans="1:9" x14ac:dyDescent="0.25">
      <c r="A280" s="750"/>
      <c r="B280" s="750"/>
      <c r="C280" s="750"/>
      <c r="D280" s="750"/>
      <c r="E280" s="750"/>
      <c r="F280" s="750"/>
      <c r="G280" s="750"/>
      <c r="H280" s="750"/>
      <c r="I280" s="750"/>
    </row>
  </sheetData>
  <hyperlinks>
    <hyperlink ref="B4" location="SU_A0600" display="SU_A0600" xr:uid="{00000000-0004-0000-5900-000000000000}"/>
    <hyperlink ref="F2" location="SU_A0600_BOM" display="Back to BOM" xr:uid="{00000000-0004-0000-59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sheetPr>
    <tabColor rgb="FFFFFF66"/>
    <pageSetUpPr fitToPage="1"/>
  </sheetPr>
  <dimension ref="A1:O22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4.7109375" customWidth="1"/>
    <col min="3" max="3" width="27.7109375" customWidth="1"/>
    <col min="7" max="7" width="22.28515625" customWidth="1"/>
    <col min="9" max="9" width="27.28515625" customWidth="1"/>
    <col min="13" max="13" width="13.285156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752" t="s">
        <v>0</v>
      </c>
      <c r="B2" s="16" t="s">
        <v>37</v>
      </c>
      <c r="C2" s="725"/>
      <c r="D2" s="725"/>
      <c r="E2" s="725"/>
      <c r="F2" s="87" t="s">
        <v>62</v>
      </c>
      <c r="G2" s="725"/>
      <c r="H2" s="725"/>
      <c r="I2" s="725"/>
      <c r="J2" s="753" t="s">
        <v>1</v>
      </c>
      <c r="K2" s="727">
        <v>81</v>
      </c>
      <c r="L2" s="725"/>
      <c r="M2" s="754" t="s">
        <v>16</v>
      </c>
      <c r="N2" s="728">
        <f>SU_06002_m+SU_06002_p</f>
        <v>1.5427786126391492</v>
      </c>
      <c r="O2" s="259"/>
    </row>
    <row r="3" spans="1:15" x14ac:dyDescent="0.25">
      <c r="A3" s="755" t="s">
        <v>3</v>
      </c>
      <c r="B3" s="16" t="str">
        <f>'SU A0600'!B3</f>
        <v>Suspension &amp; Shocks</v>
      </c>
      <c r="C3" s="725"/>
      <c r="D3" s="754" t="s">
        <v>6</v>
      </c>
      <c r="E3" s="725"/>
      <c r="F3" s="725"/>
      <c r="G3" s="725"/>
      <c r="H3" s="725"/>
      <c r="I3" s="725"/>
      <c r="J3" s="725"/>
      <c r="K3" s="725"/>
      <c r="L3" s="725"/>
      <c r="M3" s="756" t="s">
        <v>4</v>
      </c>
      <c r="N3" s="729">
        <v>1</v>
      </c>
      <c r="O3" s="259"/>
    </row>
    <row r="4" spans="1:15" x14ac:dyDescent="0.25">
      <c r="A4" s="755" t="s">
        <v>5</v>
      </c>
      <c r="B4" s="87" t="str">
        <f>'SU A0600'!B4</f>
        <v>Front Bell Crank</v>
      </c>
      <c r="C4" s="725"/>
      <c r="D4" s="756" t="s">
        <v>8</v>
      </c>
      <c r="E4" s="725"/>
      <c r="F4" s="725"/>
      <c r="G4" s="725"/>
      <c r="H4" s="725"/>
      <c r="I4" s="725"/>
      <c r="J4" s="754" t="s">
        <v>6</v>
      </c>
      <c r="K4" s="725"/>
      <c r="L4" s="725"/>
      <c r="M4" s="725"/>
      <c r="N4" s="725"/>
      <c r="O4" s="259"/>
    </row>
    <row r="5" spans="1:15" x14ac:dyDescent="0.25">
      <c r="A5" s="755" t="s">
        <v>15</v>
      </c>
      <c r="B5" s="730" t="s">
        <v>312</v>
      </c>
      <c r="C5" s="725"/>
      <c r="D5" s="756" t="s">
        <v>12</v>
      </c>
      <c r="E5" s="725"/>
      <c r="F5" s="725"/>
      <c r="G5" s="725"/>
      <c r="H5" s="725"/>
      <c r="I5" s="725"/>
      <c r="J5" s="756" t="s">
        <v>8</v>
      </c>
      <c r="K5" s="725"/>
      <c r="L5" s="725"/>
      <c r="M5" s="754" t="s">
        <v>9</v>
      </c>
      <c r="N5" s="728">
        <f>N2*N3</f>
        <v>1.5427786126391492</v>
      </c>
      <c r="O5" s="259"/>
    </row>
    <row r="6" spans="1:15" x14ac:dyDescent="0.25">
      <c r="A6" s="755" t="s">
        <v>7</v>
      </c>
      <c r="B6" s="725" t="s">
        <v>337</v>
      </c>
      <c r="C6" s="725"/>
      <c r="D6" s="725"/>
      <c r="E6" s="725"/>
      <c r="F6" s="725"/>
      <c r="G6" s="725"/>
      <c r="H6" s="725"/>
      <c r="I6" s="725"/>
      <c r="J6" s="756" t="s">
        <v>12</v>
      </c>
      <c r="K6" s="725"/>
      <c r="L6" s="725"/>
      <c r="M6" s="725"/>
      <c r="N6" s="725"/>
      <c r="O6" s="259"/>
    </row>
    <row r="7" spans="1:15" x14ac:dyDescent="0.25">
      <c r="A7" s="755" t="s">
        <v>10</v>
      </c>
      <c r="B7" s="16" t="s">
        <v>11</v>
      </c>
      <c r="C7" s="725"/>
      <c r="D7" s="725"/>
      <c r="E7" s="725"/>
      <c r="F7" s="725"/>
      <c r="G7" s="725"/>
      <c r="H7" s="725"/>
      <c r="I7" s="725"/>
      <c r="J7" s="725"/>
      <c r="K7" s="725"/>
      <c r="L7" s="725"/>
      <c r="M7" s="725"/>
      <c r="N7" s="725"/>
      <c r="O7" s="259"/>
    </row>
    <row r="8" spans="1:15" x14ac:dyDescent="0.25">
      <c r="A8" s="755" t="s">
        <v>13</v>
      </c>
      <c r="B8" s="16"/>
      <c r="C8" s="725"/>
      <c r="D8" s="725"/>
      <c r="E8" s="725"/>
      <c r="F8" s="725"/>
      <c r="G8" s="725"/>
      <c r="H8" s="725"/>
      <c r="I8" s="725"/>
      <c r="J8" s="725"/>
      <c r="K8" s="725"/>
      <c r="L8" s="725"/>
      <c r="M8" s="725"/>
      <c r="N8" s="725"/>
      <c r="O8" s="259"/>
    </row>
    <row r="9" spans="1:15" x14ac:dyDescent="0.25">
      <c r="A9" s="731"/>
      <c r="B9" s="725"/>
      <c r="C9" s="725"/>
      <c r="D9" s="725"/>
      <c r="E9" s="725"/>
      <c r="F9" s="725"/>
      <c r="G9" s="725"/>
      <c r="H9" s="725"/>
      <c r="I9" s="725"/>
      <c r="J9" s="725"/>
      <c r="K9" s="725"/>
      <c r="L9" s="725"/>
      <c r="M9" s="725"/>
      <c r="N9" s="725"/>
      <c r="O9" s="259"/>
    </row>
    <row r="10" spans="1:15" x14ac:dyDescent="0.25">
      <c r="A10" s="757" t="s">
        <v>14</v>
      </c>
      <c r="B10" s="758" t="s">
        <v>19</v>
      </c>
      <c r="C10" s="733" t="s">
        <v>20</v>
      </c>
      <c r="D10" s="733" t="s">
        <v>21</v>
      </c>
      <c r="E10" s="733" t="s">
        <v>22</v>
      </c>
      <c r="F10" s="733" t="s">
        <v>23</v>
      </c>
      <c r="G10" s="733" t="s">
        <v>24</v>
      </c>
      <c r="H10" s="733" t="s">
        <v>25</v>
      </c>
      <c r="I10" s="733" t="s">
        <v>26</v>
      </c>
      <c r="J10" s="733" t="s">
        <v>27</v>
      </c>
      <c r="K10" s="733" t="s">
        <v>28</v>
      </c>
      <c r="L10" s="733" t="s">
        <v>29</v>
      </c>
      <c r="M10" s="733" t="s">
        <v>17</v>
      </c>
      <c r="N10" s="733" t="s">
        <v>18</v>
      </c>
      <c r="O10" s="259"/>
    </row>
    <row r="11" spans="1:15" x14ac:dyDescent="0.25">
      <c r="A11" s="759">
        <v>10</v>
      </c>
      <c r="B11" s="760" t="s">
        <v>301</v>
      </c>
      <c r="C11" s="736" t="s">
        <v>302</v>
      </c>
      <c r="D11" s="737">
        <v>2.25</v>
      </c>
      <c r="E11" s="738">
        <f>J11*K11*L11</f>
        <v>2.4168272284066282E-2</v>
      </c>
      <c r="F11" s="736" t="s">
        <v>141</v>
      </c>
      <c r="G11" s="736"/>
      <c r="H11" s="739"/>
      <c r="I11" s="740" t="s">
        <v>338</v>
      </c>
      <c r="J11" s="740">
        <f>PI()*(7*10^-3)^2</f>
        <v>1.5393804002589989E-4</v>
      </c>
      <c r="K11" s="741">
        <v>0.02</v>
      </c>
      <c r="L11" s="742">
        <v>7850</v>
      </c>
      <c r="M11" s="742">
        <v>1</v>
      </c>
      <c r="N11" s="737">
        <f>D11*E11*M11</f>
        <v>5.4378612639149136E-2</v>
      </c>
      <c r="O11" s="259"/>
    </row>
    <row r="12" spans="1:15" x14ac:dyDescent="0.25">
      <c r="A12" s="743"/>
      <c r="B12" s="744"/>
      <c r="C12" s="744"/>
      <c r="D12" s="744"/>
      <c r="E12" s="744"/>
      <c r="F12" s="744"/>
      <c r="G12" s="744"/>
      <c r="H12" s="744"/>
      <c r="I12" s="744"/>
      <c r="J12" s="744"/>
      <c r="K12" s="744"/>
      <c r="L12" s="744"/>
      <c r="M12" s="745" t="s">
        <v>18</v>
      </c>
      <c r="N12" s="746">
        <f>N11</f>
        <v>5.4378612639149136E-2</v>
      </c>
      <c r="O12" s="259"/>
    </row>
    <row r="13" spans="1:15" x14ac:dyDescent="0.25">
      <c r="A13" s="731"/>
      <c r="B13" s="725"/>
      <c r="C13" s="725"/>
      <c r="D13" s="725"/>
      <c r="E13" s="725"/>
      <c r="F13" s="725"/>
      <c r="G13" s="725"/>
      <c r="H13" s="725"/>
      <c r="I13" s="725"/>
      <c r="J13" s="725"/>
      <c r="K13" s="725"/>
      <c r="L13" s="725"/>
      <c r="M13" s="725"/>
      <c r="N13" s="725"/>
      <c r="O13" s="259"/>
    </row>
    <row r="14" spans="1:15" x14ac:dyDescent="0.25">
      <c r="A14" s="732" t="s">
        <v>14</v>
      </c>
      <c r="B14" s="733" t="s">
        <v>31</v>
      </c>
      <c r="C14" s="733" t="s">
        <v>20</v>
      </c>
      <c r="D14" s="733" t="s">
        <v>21</v>
      </c>
      <c r="E14" s="733" t="s">
        <v>32</v>
      </c>
      <c r="F14" s="733" t="s">
        <v>17</v>
      </c>
      <c r="G14" s="733" t="s">
        <v>33</v>
      </c>
      <c r="H14" s="733" t="s">
        <v>34</v>
      </c>
      <c r="I14" s="733" t="s">
        <v>18</v>
      </c>
      <c r="J14" s="744"/>
      <c r="K14" s="744"/>
      <c r="L14" s="744"/>
      <c r="M14" s="744"/>
      <c r="N14" s="744"/>
      <c r="O14" s="259"/>
    </row>
    <row r="15" spans="1:15" x14ac:dyDescent="0.25">
      <c r="A15" s="734">
        <v>10</v>
      </c>
      <c r="B15" s="736" t="s">
        <v>39</v>
      </c>
      <c r="C15" s="736"/>
      <c r="D15" s="737">
        <v>1.3</v>
      </c>
      <c r="E15" s="736" t="s">
        <v>35</v>
      </c>
      <c r="F15" s="736">
        <v>1</v>
      </c>
      <c r="G15" s="736"/>
      <c r="H15" s="736"/>
      <c r="I15" s="737">
        <v>1.3</v>
      </c>
      <c r="J15" s="725"/>
      <c r="K15" s="725"/>
      <c r="L15" s="725"/>
      <c r="M15" s="725"/>
      <c r="N15" s="725"/>
      <c r="O15" s="259"/>
    </row>
    <row r="16" spans="1:15" x14ac:dyDescent="0.25">
      <c r="A16" s="734">
        <v>20</v>
      </c>
      <c r="B16" s="736" t="s">
        <v>334</v>
      </c>
      <c r="C16" s="736" t="s">
        <v>335</v>
      </c>
      <c r="D16" s="737">
        <v>0.04</v>
      </c>
      <c r="E16" s="736" t="s">
        <v>93</v>
      </c>
      <c r="F16" s="736">
        <v>1.57</v>
      </c>
      <c r="G16" s="736" t="s">
        <v>339</v>
      </c>
      <c r="H16" s="736">
        <v>3</v>
      </c>
      <c r="I16" s="737">
        <f>D16*F16*H16</f>
        <v>0.18840000000000001</v>
      </c>
      <c r="J16" s="725"/>
      <c r="K16" s="725"/>
      <c r="L16" s="725"/>
      <c r="M16" s="725"/>
      <c r="N16" s="725"/>
      <c r="O16" s="259"/>
    </row>
    <row r="17" spans="1:15" x14ac:dyDescent="0.25">
      <c r="A17" s="743"/>
      <c r="B17" s="744"/>
      <c r="C17" s="744"/>
      <c r="D17" s="744"/>
      <c r="E17" s="744"/>
      <c r="F17" s="744"/>
      <c r="G17" s="744"/>
      <c r="H17" s="745" t="s">
        <v>18</v>
      </c>
      <c r="I17" s="747">
        <f>I15+I16</f>
        <v>1.4883999999999999</v>
      </c>
      <c r="J17" s="744"/>
      <c r="K17" s="744"/>
      <c r="L17" s="744"/>
      <c r="M17" s="744"/>
      <c r="N17" s="744"/>
      <c r="O17" s="259"/>
    </row>
    <row r="18" spans="1:15" x14ac:dyDescent="0.25">
      <c r="A18" s="731"/>
      <c r="B18" s="725"/>
      <c r="C18" s="725"/>
      <c r="D18" s="725"/>
      <c r="E18" s="725"/>
      <c r="F18" s="725"/>
      <c r="G18" s="725"/>
      <c r="H18" s="727"/>
      <c r="I18" s="728"/>
      <c r="J18" s="725"/>
      <c r="K18" s="725"/>
      <c r="L18" s="725"/>
      <c r="M18" s="725"/>
      <c r="N18" s="725"/>
      <c r="O18" s="259"/>
    </row>
    <row r="19" spans="1:15" x14ac:dyDescent="0.25">
      <c r="A19" s="731"/>
      <c r="B19" s="725"/>
      <c r="C19" s="725"/>
      <c r="D19" s="725"/>
      <c r="E19" s="725"/>
      <c r="F19" s="725"/>
      <c r="G19" s="725"/>
      <c r="H19" s="725"/>
      <c r="I19" s="725"/>
      <c r="J19" s="725"/>
      <c r="K19" s="725"/>
      <c r="L19" s="725"/>
      <c r="M19" s="725"/>
      <c r="N19" s="725"/>
      <c r="O19" s="259"/>
    </row>
    <row r="20" spans="1:15" x14ac:dyDescent="0.25">
      <c r="A20" s="699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59"/>
    </row>
    <row r="21" spans="1:15" x14ac:dyDescent="0.25">
      <c r="A21" s="699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59"/>
    </row>
    <row r="22" spans="1:15" ht="15.75" thickBot="1" x14ac:dyDescent="0.3">
      <c r="A22" s="279"/>
      <c r="B22" s="280"/>
      <c r="C22" s="280"/>
      <c r="D22" s="280"/>
      <c r="E22" s="280"/>
      <c r="F22" s="280"/>
      <c r="G22" s="280"/>
      <c r="H22" s="280"/>
      <c r="I22" s="280"/>
      <c r="J22" s="280"/>
      <c r="K22" s="280"/>
      <c r="L22" s="280"/>
      <c r="M22" s="280"/>
      <c r="N22" s="280"/>
      <c r="O22" s="281"/>
    </row>
  </sheetData>
  <hyperlinks>
    <hyperlink ref="F2" location="SU_A0600_BOM" display="Back to BOM" xr:uid="{00000000-0004-0000-5A00-000000000000}"/>
    <hyperlink ref="B4" location="SU_A0600" display="SU_A0600" xr:uid="{00000000-0004-0000-5A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9" fitToHeight="99" orientation="landscape" r:id="rId1"/>
  <headerFooter>
    <oddFooter>Page &amp;P</oddFooter>
  </headerFooter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sheetPr>
    <tabColor rgb="FFFFFF66"/>
    <pageSetUpPr fitToPage="1"/>
  </sheetPr>
  <dimension ref="A1:P18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36.42578125" customWidth="1"/>
    <col min="5" max="5" width="13.28515625" bestFit="1" customWidth="1"/>
    <col min="7" max="7" width="19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SU_06003_m+SU_06003_p</f>
        <v>0.88140624999999995</v>
      </c>
      <c r="O2" s="62"/>
    </row>
    <row r="3" spans="1:16" x14ac:dyDescent="0.25">
      <c r="A3" s="99" t="s">
        <v>3</v>
      </c>
      <c r="B3" s="16" t="str">
        <f>'SU A0600'!B3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A0600'!B4</f>
        <v>Front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340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1.7628124999999999</v>
      </c>
      <c r="O5" s="62"/>
    </row>
    <row r="6" spans="1:16" x14ac:dyDescent="0.25">
      <c r="A6" s="99" t="s">
        <v>7</v>
      </c>
      <c r="B6" s="725" t="s">
        <v>341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25">
      <c r="A11" s="761">
        <v>10</v>
      </c>
      <c r="B11" s="659" t="s">
        <v>301</v>
      </c>
      <c r="C11" s="20" t="s">
        <v>342</v>
      </c>
      <c r="D11" s="272">
        <v>2.25</v>
      </c>
      <c r="E11" s="762">
        <f>L11*J11*K11</f>
        <v>0.176625</v>
      </c>
      <c r="F11" s="20" t="s">
        <v>141</v>
      </c>
      <c r="G11" s="20"/>
      <c r="H11" s="273"/>
      <c r="I11" s="21" t="s">
        <v>343</v>
      </c>
      <c r="J11" s="763">
        <f>125*60*10^-6</f>
        <v>7.4999999999999997E-3</v>
      </c>
      <c r="K11" s="662">
        <v>3.0000000000000001E-3</v>
      </c>
      <c r="L11" s="663">
        <v>7850</v>
      </c>
      <c r="M11" s="23">
        <v>1</v>
      </c>
      <c r="N11" s="272">
        <f>IF(J11="",D11*M11,D11*J11*K11*L11*M11)</f>
        <v>0.39740625000000002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0.39740625000000002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764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45" x14ac:dyDescent="0.25">
      <c r="A15" s="765">
        <v>10</v>
      </c>
      <c r="B15" s="736" t="s">
        <v>344</v>
      </c>
      <c r="C15" s="736" t="s">
        <v>345</v>
      </c>
      <c r="D15" s="737">
        <v>1.3</v>
      </c>
      <c r="E15" s="736" t="s">
        <v>35</v>
      </c>
      <c r="F15" s="736">
        <v>1</v>
      </c>
      <c r="G15" s="766" t="s">
        <v>346</v>
      </c>
      <c r="H15" s="736">
        <v>0.25</v>
      </c>
      <c r="I15" s="737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765">
        <v>20</v>
      </c>
      <c r="B16" s="736" t="s">
        <v>347</v>
      </c>
      <c r="C16" s="736" t="s">
        <v>348</v>
      </c>
      <c r="D16" s="737">
        <v>0.01</v>
      </c>
      <c r="E16" s="736" t="s">
        <v>40</v>
      </c>
      <c r="F16" s="736">
        <v>5.3</v>
      </c>
      <c r="G16" s="736" t="s">
        <v>339</v>
      </c>
      <c r="H16" s="736">
        <v>3</v>
      </c>
      <c r="I16" s="737">
        <f>D16*F16*H16</f>
        <v>0.159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0.48399999999999999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 xr:uid="{00000000-0004-0000-5B00-000000000000}"/>
    <hyperlink ref="G2" location="SU_A0600_BOM" display="Back to BOM" xr:uid="{00000000-0004-0000-5B00-000001000000}"/>
    <hyperlink ref="B4" location="SU_A0600" display="SU_A0600" xr:uid="{00000000-0004-0000-5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7" fitToHeight="99" orientation="landscape" r:id="rId1"/>
  <headerFooter>
    <oddFooter>Page &amp;P</oddFooter>
  </headerFooter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0" t="s">
        <v>350</v>
      </c>
    </row>
  </sheetData>
  <hyperlinks>
    <hyperlink ref="B1" location="SU_06003" display="SU_06003" xr:uid="{00000000-0004-0000-5C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sheetPr>
    <tabColor rgb="FFFFFF66"/>
    <pageSetUpPr fitToPage="1"/>
  </sheetPr>
  <dimension ref="A1:O20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9.140625" customWidth="1"/>
    <col min="3" max="3" width="30.85546875" customWidth="1"/>
    <col min="7" max="7" width="36.7109375" customWidth="1"/>
    <col min="9" max="9" width="29.28515625" customWidth="1"/>
    <col min="15" max="15" width="7.710937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752" t="s">
        <v>0</v>
      </c>
      <c r="B2" s="16" t="s">
        <v>37</v>
      </c>
      <c r="C2" s="725"/>
      <c r="D2" s="725"/>
      <c r="E2" s="725"/>
      <c r="F2" s="87" t="s">
        <v>62</v>
      </c>
      <c r="G2" s="725"/>
      <c r="H2" s="725"/>
      <c r="I2" s="725"/>
      <c r="J2" s="753" t="s">
        <v>1</v>
      </c>
      <c r="K2" s="727">
        <v>81</v>
      </c>
      <c r="L2" s="725"/>
      <c r="M2" s="754" t="s">
        <v>16</v>
      </c>
      <c r="N2" s="728">
        <f>SU_06004_m+SU_06004_p</f>
        <v>2.2702062500000002</v>
      </c>
      <c r="O2" s="259"/>
    </row>
    <row r="3" spans="1:15" x14ac:dyDescent="0.25">
      <c r="A3" s="755" t="s">
        <v>3</v>
      </c>
      <c r="B3" s="16" t="str">
        <f>'SU A0600'!B3</f>
        <v>Suspension &amp; Shocks</v>
      </c>
      <c r="C3" s="725"/>
      <c r="D3" s="754" t="s">
        <v>6</v>
      </c>
      <c r="E3" s="725"/>
      <c r="F3" s="725"/>
      <c r="G3" s="725"/>
      <c r="H3" s="725"/>
      <c r="I3" s="725"/>
      <c r="J3" s="725"/>
      <c r="K3" s="725"/>
      <c r="L3" s="725"/>
      <c r="M3" s="756" t="s">
        <v>4</v>
      </c>
      <c r="N3" s="729">
        <v>2</v>
      </c>
      <c r="O3" s="259"/>
    </row>
    <row r="4" spans="1:15" x14ac:dyDescent="0.25">
      <c r="A4" s="755" t="s">
        <v>5</v>
      </c>
      <c r="B4" s="87" t="str">
        <f>'SU A0600'!B4</f>
        <v>Front Bell Crank</v>
      </c>
      <c r="C4" s="725"/>
      <c r="D4" s="756" t="s">
        <v>8</v>
      </c>
      <c r="E4" s="725"/>
      <c r="F4" s="725"/>
      <c r="G4" s="725"/>
      <c r="H4" s="725"/>
      <c r="I4" s="725"/>
      <c r="J4" s="754" t="s">
        <v>6</v>
      </c>
      <c r="K4" s="725"/>
      <c r="L4" s="725"/>
      <c r="M4" s="725"/>
      <c r="N4" s="725"/>
      <c r="O4" s="259"/>
    </row>
    <row r="5" spans="1:15" x14ac:dyDescent="0.25">
      <c r="A5" s="755" t="s">
        <v>15</v>
      </c>
      <c r="B5" s="730" t="s">
        <v>314</v>
      </c>
      <c r="C5" s="725"/>
      <c r="D5" s="756" t="s">
        <v>12</v>
      </c>
      <c r="E5" s="725"/>
      <c r="F5" s="725"/>
      <c r="G5" s="725"/>
      <c r="H5" s="725"/>
      <c r="I5" s="725"/>
      <c r="J5" s="756" t="s">
        <v>8</v>
      </c>
      <c r="K5" s="725"/>
      <c r="L5" s="725"/>
      <c r="M5" s="754" t="s">
        <v>9</v>
      </c>
      <c r="N5" s="728">
        <f>N2*N3</f>
        <v>4.5404125000000004</v>
      </c>
      <c r="O5" s="259"/>
    </row>
    <row r="6" spans="1:15" x14ac:dyDescent="0.25">
      <c r="A6" s="755" t="s">
        <v>7</v>
      </c>
      <c r="B6" s="725" t="s">
        <v>351</v>
      </c>
      <c r="C6" s="725"/>
      <c r="D6" s="725"/>
      <c r="E6" s="725"/>
      <c r="F6" s="725"/>
      <c r="G6" s="725"/>
      <c r="H6" s="725"/>
      <c r="I6" s="725"/>
      <c r="J6" s="756" t="s">
        <v>12</v>
      </c>
      <c r="K6" s="725"/>
      <c r="L6" s="725"/>
      <c r="M6" s="725"/>
      <c r="N6" s="725"/>
      <c r="O6" s="259"/>
    </row>
    <row r="7" spans="1:15" x14ac:dyDescent="0.25">
      <c r="A7" s="755" t="s">
        <v>10</v>
      </c>
      <c r="B7" s="16" t="s">
        <v>11</v>
      </c>
      <c r="C7" s="725"/>
      <c r="D7" s="725"/>
      <c r="E7" s="725"/>
      <c r="F7" s="725"/>
      <c r="G7" s="725"/>
      <c r="H7" s="725"/>
      <c r="I7" s="725"/>
      <c r="J7" s="725"/>
      <c r="K7" s="725"/>
      <c r="L7" s="725"/>
      <c r="M7" s="725"/>
      <c r="N7" s="725"/>
      <c r="O7" s="259"/>
    </row>
    <row r="8" spans="1:15" x14ac:dyDescent="0.25">
      <c r="A8" s="755" t="s">
        <v>13</v>
      </c>
      <c r="B8" s="16"/>
      <c r="C8" s="725"/>
      <c r="D8" s="725"/>
      <c r="E8" s="725"/>
      <c r="F8" s="725"/>
      <c r="G8" s="725"/>
      <c r="H8" s="725"/>
      <c r="I8" s="725"/>
      <c r="J8" s="725"/>
      <c r="K8" s="725"/>
      <c r="L8" s="725"/>
      <c r="M8" s="725"/>
      <c r="N8" s="725"/>
      <c r="O8" s="259"/>
    </row>
    <row r="9" spans="1:15" x14ac:dyDescent="0.25">
      <c r="A9" s="731"/>
      <c r="B9" s="725"/>
      <c r="C9" s="725"/>
      <c r="D9" s="725"/>
      <c r="E9" s="725"/>
      <c r="F9" s="725"/>
      <c r="G9" s="725"/>
      <c r="H9" s="725"/>
      <c r="I9" s="725"/>
      <c r="J9" s="725"/>
      <c r="K9" s="725"/>
      <c r="L9" s="725"/>
      <c r="M9" s="725"/>
      <c r="N9" s="725"/>
      <c r="O9" s="259"/>
    </row>
    <row r="10" spans="1:15" x14ac:dyDescent="0.25">
      <c r="A10" s="757" t="s">
        <v>14</v>
      </c>
      <c r="B10" s="758" t="s">
        <v>19</v>
      </c>
      <c r="C10" s="758" t="s">
        <v>20</v>
      </c>
      <c r="D10" s="733" t="s">
        <v>21</v>
      </c>
      <c r="E10" s="733" t="s">
        <v>22</v>
      </c>
      <c r="F10" s="733" t="s">
        <v>23</v>
      </c>
      <c r="G10" s="733" t="s">
        <v>24</v>
      </c>
      <c r="H10" s="733" t="s">
        <v>25</v>
      </c>
      <c r="I10" s="733" t="s">
        <v>26</v>
      </c>
      <c r="J10" s="733" t="s">
        <v>27</v>
      </c>
      <c r="K10" s="733" t="s">
        <v>28</v>
      </c>
      <c r="L10" s="733" t="s">
        <v>29</v>
      </c>
      <c r="M10" s="733" t="s">
        <v>17</v>
      </c>
      <c r="N10" s="733" t="s">
        <v>18</v>
      </c>
      <c r="O10" s="259"/>
    </row>
    <row r="11" spans="1:15" x14ac:dyDescent="0.25">
      <c r="A11" s="759">
        <v>10</v>
      </c>
      <c r="B11" s="760" t="s">
        <v>301</v>
      </c>
      <c r="C11" s="767" t="s">
        <v>302</v>
      </c>
      <c r="D11" s="737">
        <v>2.25</v>
      </c>
      <c r="E11" s="738">
        <f>J11*K11*L11</f>
        <v>5.1024999999999994E-2</v>
      </c>
      <c r="F11" s="736" t="s">
        <v>141</v>
      </c>
      <c r="G11" s="736"/>
      <c r="H11" s="739"/>
      <c r="I11" s="740" t="s">
        <v>352</v>
      </c>
      <c r="J11" s="740">
        <f>50*26*10^-6</f>
        <v>1.2999999999999999E-3</v>
      </c>
      <c r="K11" s="741">
        <v>5.0000000000000001E-3</v>
      </c>
      <c r="L11" s="742">
        <v>7850</v>
      </c>
      <c r="M11" s="742">
        <v>1</v>
      </c>
      <c r="N11" s="737">
        <f>D11*E11*M11</f>
        <v>0.11480624999999998</v>
      </c>
      <c r="O11" s="259"/>
    </row>
    <row r="12" spans="1:15" x14ac:dyDescent="0.25">
      <c r="A12" s="743"/>
      <c r="B12" s="744"/>
      <c r="C12" s="744"/>
      <c r="D12" s="744"/>
      <c r="E12" s="744"/>
      <c r="F12" s="744"/>
      <c r="G12" s="744"/>
      <c r="H12" s="744"/>
      <c r="I12" s="744"/>
      <c r="J12" s="744"/>
      <c r="K12" s="744"/>
      <c r="L12" s="744"/>
      <c r="M12" s="745" t="s">
        <v>18</v>
      </c>
      <c r="N12" s="746">
        <f>N11</f>
        <v>0.11480624999999998</v>
      </c>
      <c r="O12" s="259"/>
    </row>
    <row r="13" spans="1:15" x14ac:dyDescent="0.25">
      <c r="A13" s="731"/>
      <c r="B13" s="725"/>
      <c r="C13" s="725"/>
      <c r="D13" s="725"/>
      <c r="E13" s="725"/>
      <c r="F13" s="725"/>
      <c r="G13" s="725"/>
      <c r="H13" s="725"/>
      <c r="I13" s="725"/>
      <c r="J13" s="725"/>
      <c r="K13" s="725"/>
      <c r="L13" s="725"/>
      <c r="M13" s="725"/>
      <c r="N13" s="725"/>
      <c r="O13" s="259"/>
    </row>
    <row r="14" spans="1:15" x14ac:dyDescent="0.25">
      <c r="A14" s="732" t="s">
        <v>14</v>
      </c>
      <c r="B14" s="733" t="s">
        <v>31</v>
      </c>
      <c r="C14" s="733" t="s">
        <v>20</v>
      </c>
      <c r="D14" s="733" t="s">
        <v>21</v>
      </c>
      <c r="E14" s="733" t="s">
        <v>32</v>
      </c>
      <c r="F14" s="733" t="s">
        <v>17</v>
      </c>
      <c r="G14" s="733" t="s">
        <v>33</v>
      </c>
      <c r="H14" s="733" t="s">
        <v>34</v>
      </c>
      <c r="I14" s="733" t="s">
        <v>18</v>
      </c>
      <c r="J14" s="744"/>
      <c r="K14" s="744"/>
      <c r="L14" s="744"/>
      <c r="M14" s="744"/>
      <c r="N14" s="744"/>
      <c r="O14" s="259"/>
    </row>
    <row r="15" spans="1:15" x14ac:dyDescent="0.25">
      <c r="A15" s="734">
        <v>10</v>
      </c>
      <c r="B15" s="736" t="s">
        <v>344</v>
      </c>
      <c r="C15" s="736" t="s">
        <v>345</v>
      </c>
      <c r="D15" s="737">
        <v>1.3</v>
      </c>
      <c r="E15" s="736" t="s">
        <v>35</v>
      </c>
      <c r="F15" s="736">
        <v>1</v>
      </c>
      <c r="G15" s="736" t="s">
        <v>346</v>
      </c>
      <c r="H15" s="736">
        <v>0.25</v>
      </c>
      <c r="I15" s="737">
        <f>D15*F15*H15</f>
        <v>0.32500000000000001</v>
      </c>
      <c r="J15" s="725"/>
      <c r="K15" s="725"/>
      <c r="L15" s="725"/>
      <c r="M15" s="725"/>
      <c r="N15" s="725"/>
      <c r="O15" s="259"/>
    </row>
    <row r="16" spans="1:15" x14ac:dyDescent="0.25">
      <c r="A16" s="734">
        <v>20</v>
      </c>
      <c r="B16" s="736" t="s">
        <v>347</v>
      </c>
      <c r="C16" s="736" t="s">
        <v>348</v>
      </c>
      <c r="D16" s="737">
        <v>0.01</v>
      </c>
      <c r="E16" s="736" t="s">
        <v>40</v>
      </c>
      <c r="F16" s="736">
        <v>16</v>
      </c>
      <c r="G16" s="736" t="s">
        <v>339</v>
      </c>
      <c r="H16" s="736">
        <v>3</v>
      </c>
      <c r="I16" s="737">
        <f>D16*F16*H16</f>
        <v>0.48</v>
      </c>
      <c r="J16" s="725"/>
      <c r="K16" s="725"/>
      <c r="L16" s="725"/>
      <c r="M16" s="725"/>
      <c r="N16" s="725"/>
      <c r="O16" s="259"/>
    </row>
    <row r="17" spans="1:15" x14ac:dyDescent="0.25">
      <c r="A17" s="734">
        <v>30</v>
      </c>
      <c r="B17" s="736" t="s">
        <v>39</v>
      </c>
      <c r="C17" s="736"/>
      <c r="D17" s="737">
        <v>1.3</v>
      </c>
      <c r="E17" s="736" t="s">
        <v>35</v>
      </c>
      <c r="F17" s="736">
        <v>1</v>
      </c>
      <c r="G17" s="736"/>
      <c r="H17" s="736"/>
      <c r="I17" s="737">
        <v>1.3</v>
      </c>
      <c r="J17" s="744"/>
      <c r="K17" s="744"/>
      <c r="L17" s="744"/>
      <c r="M17" s="744"/>
      <c r="N17" s="744"/>
      <c r="O17" s="259"/>
    </row>
    <row r="18" spans="1:15" x14ac:dyDescent="0.25">
      <c r="A18" s="734">
        <v>40</v>
      </c>
      <c r="B18" s="736" t="s">
        <v>353</v>
      </c>
      <c r="C18" s="736" t="s">
        <v>335</v>
      </c>
      <c r="D18" s="737">
        <v>0.04</v>
      </c>
      <c r="E18" s="736" t="s">
        <v>93</v>
      </c>
      <c r="F18" s="736">
        <v>0.42</v>
      </c>
      <c r="G18" s="736" t="s">
        <v>339</v>
      </c>
      <c r="H18" s="736">
        <v>3</v>
      </c>
      <c r="I18" s="737">
        <f>D18*F18*H18</f>
        <v>5.04E-2</v>
      </c>
      <c r="J18" s="725"/>
      <c r="K18" s="725"/>
      <c r="L18" s="725"/>
      <c r="M18" s="725"/>
      <c r="N18" s="725"/>
      <c r="O18" s="259"/>
    </row>
    <row r="19" spans="1:15" x14ac:dyDescent="0.25">
      <c r="A19" s="743"/>
      <c r="B19" s="744"/>
      <c r="C19" s="744"/>
      <c r="D19" s="744"/>
      <c r="E19" s="744"/>
      <c r="F19" s="744"/>
      <c r="G19" s="744"/>
      <c r="H19" s="745" t="s">
        <v>18</v>
      </c>
      <c r="I19" s="747">
        <f>SUM(I15:I18)</f>
        <v>2.1554000000000002</v>
      </c>
      <c r="J19" s="56"/>
      <c r="K19" s="56"/>
      <c r="L19" s="56"/>
      <c r="M19" s="56"/>
      <c r="N19" s="56"/>
      <c r="O19" s="259"/>
    </row>
    <row r="20" spans="1:15" ht="15.75" thickBot="1" x14ac:dyDescent="0.3">
      <c r="A20" s="748"/>
      <c r="B20" s="749"/>
      <c r="C20" s="749"/>
      <c r="D20" s="749"/>
      <c r="E20" s="749"/>
      <c r="F20" s="749"/>
      <c r="G20" s="749"/>
      <c r="H20" s="768"/>
      <c r="I20" s="769"/>
      <c r="J20" s="280"/>
      <c r="K20" s="280"/>
      <c r="L20" s="280"/>
      <c r="M20" s="280"/>
      <c r="N20" s="280"/>
      <c r="O20" s="281"/>
    </row>
  </sheetData>
  <hyperlinks>
    <hyperlink ref="F2" location="SU_A0600_BOM" display="Back to BOM" xr:uid="{00000000-0004-0000-5D00-000000000000}"/>
    <hyperlink ref="B4" location="SU_A0600" display="SU_A0600" xr:uid="{00000000-0004-0000-5D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sheetPr>
    <tabColor rgb="FFFFFF00"/>
    <pageSetUpPr fitToPage="1"/>
  </sheetPr>
  <dimension ref="A1:O52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8" customWidth="1"/>
    <col min="3" max="3" width="46" customWidth="1"/>
    <col min="5" max="5" width="10.28515625" customWidth="1"/>
    <col min="7" max="7" width="7" customWidth="1"/>
    <col min="8" max="8" width="11" customWidth="1"/>
    <col min="15" max="15" width="5.28515625" customWidth="1"/>
  </cols>
  <sheetData>
    <row r="1" spans="1:15" x14ac:dyDescent="0.25">
      <c r="A1" s="830"/>
      <c r="B1" s="831"/>
      <c r="C1" s="831"/>
      <c r="D1" s="831"/>
      <c r="E1" s="831"/>
      <c r="F1" s="831"/>
      <c r="G1" s="831"/>
      <c r="H1" s="831"/>
      <c r="I1" s="831"/>
      <c r="J1" s="831"/>
      <c r="K1" s="831"/>
      <c r="L1" s="831"/>
      <c r="M1" s="831"/>
      <c r="N1" s="831"/>
      <c r="O1" s="832"/>
    </row>
    <row r="2" spans="1:15" x14ac:dyDescent="0.25">
      <c r="A2" s="697" t="s">
        <v>0</v>
      </c>
      <c r="B2" s="16" t="s">
        <v>37</v>
      </c>
      <c r="C2" s="57"/>
      <c r="D2" s="57"/>
      <c r="E2" s="833" t="s">
        <v>62</v>
      </c>
      <c r="F2" s="57"/>
      <c r="G2" s="57"/>
      <c r="H2" s="57"/>
      <c r="I2" s="57"/>
      <c r="J2" s="95" t="s">
        <v>1</v>
      </c>
      <c r="K2" s="83">
        <v>81</v>
      </c>
      <c r="L2" s="57"/>
      <c r="M2" s="95" t="s">
        <v>2</v>
      </c>
      <c r="N2" s="92">
        <f>SU_A0700_pa+SU_A0700_m+SU_A0700_p+SU_A0700_f+SU_A0700_t</f>
        <v>340.94452558086874</v>
      </c>
      <c r="O2" s="717"/>
    </row>
    <row r="3" spans="1:15" x14ac:dyDescent="0.25">
      <c r="A3" s="697" t="s">
        <v>3</v>
      </c>
      <c r="B3" s="16" t="s">
        <v>63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5" t="s">
        <v>4</v>
      </c>
      <c r="N3" s="82">
        <v>2</v>
      </c>
      <c r="O3" s="717"/>
    </row>
    <row r="4" spans="1:15" x14ac:dyDescent="0.25">
      <c r="A4" s="697" t="s">
        <v>5</v>
      </c>
      <c r="B4" s="57" t="s">
        <v>354</v>
      </c>
      <c r="C4" s="57"/>
      <c r="D4" s="57"/>
      <c r="E4" s="57"/>
      <c r="F4" s="57"/>
      <c r="G4" s="57"/>
      <c r="H4" s="57"/>
      <c r="I4" s="57"/>
      <c r="J4" s="96" t="s">
        <v>6</v>
      </c>
      <c r="K4" s="57"/>
      <c r="L4" s="57"/>
      <c r="M4" s="57"/>
      <c r="N4" s="57"/>
      <c r="O4" s="717"/>
    </row>
    <row r="5" spans="1:15" x14ac:dyDescent="0.25">
      <c r="A5" s="697" t="s">
        <v>7</v>
      </c>
      <c r="B5" s="18" t="s">
        <v>355</v>
      </c>
      <c r="C5" s="57"/>
      <c r="D5" s="57"/>
      <c r="E5" s="57"/>
      <c r="F5" s="57"/>
      <c r="G5" s="57"/>
      <c r="H5" s="57"/>
      <c r="I5" s="57"/>
      <c r="J5" s="96" t="s">
        <v>8</v>
      </c>
      <c r="K5" s="57"/>
      <c r="L5" s="57"/>
      <c r="M5" s="95" t="s">
        <v>9</v>
      </c>
      <c r="N5" s="74">
        <f>N2*N3</f>
        <v>681.88905116173748</v>
      </c>
      <c r="O5" s="717"/>
    </row>
    <row r="6" spans="1:15" x14ac:dyDescent="0.25">
      <c r="A6" s="697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6" t="s">
        <v>12</v>
      </c>
      <c r="K6" s="57"/>
      <c r="L6" s="57"/>
      <c r="M6" s="57"/>
      <c r="N6" s="57"/>
      <c r="O6" s="717"/>
    </row>
    <row r="7" spans="1:15" x14ac:dyDescent="0.25">
      <c r="A7" s="697" t="s">
        <v>13</v>
      </c>
      <c r="B7" s="834" t="s">
        <v>356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17"/>
    </row>
    <row r="8" spans="1:15" x14ac:dyDescent="0.25">
      <c r="A8" s="835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17"/>
    </row>
    <row r="9" spans="1:15" x14ac:dyDescent="0.25">
      <c r="A9" s="700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17"/>
    </row>
    <row r="10" spans="1:15" x14ac:dyDescent="0.25">
      <c r="A10" s="770">
        <v>10</v>
      </c>
      <c r="B10" s="452" t="s">
        <v>357</v>
      </c>
      <c r="C10" s="563">
        <f>'SU 07001'!N2</f>
        <v>5.9234014172552163</v>
      </c>
      <c r="D10" s="628">
        <f>SU_07001_q</f>
        <v>1</v>
      </c>
      <c r="E10" s="563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17"/>
    </row>
    <row r="11" spans="1:15" x14ac:dyDescent="0.25">
      <c r="A11" s="835"/>
      <c r="B11" s="57"/>
      <c r="C11" s="57"/>
      <c r="D11" s="254" t="s">
        <v>18</v>
      </c>
      <c r="E11" s="23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17"/>
    </row>
    <row r="12" spans="1:15" x14ac:dyDescent="0.25">
      <c r="A12" s="835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17"/>
    </row>
    <row r="13" spans="1:15" x14ac:dyDescent="0.25">
      <c r="A13" s="700" t="s">
        <v>14</v>
      </c>
      <c r="B13" s="627" t="s">
        <v>19</v>
      </c>
      <c r="C13" s="627" t="s">
        <v>20</v>
      </c>
      <c r="D13" s="627" t="s">
        <v>21</v>
      </c>
      <c r="E13" s="627" t="s">
        <v>22</v>
      </c>
      <c r="F13" s="627" t="s">
        <v>23</v>
      </c>
      <c r="G13" s="627" t="s">
        <v>24</v>
      </c>
      <c r="H13" s="627" t="s">
        <v>25</v>
      </c>
      <c r="I13" s="627" t="s">
        <v>26</v>
      </c>
      <c r="J13" s="627" t="s">
        <v>27</v>
      </c>
      <c r="K13" s="627" t="s">
        <v>28</v>
      </c>
      <c r="L13" s="627" t="s">
        <v>29</v>
      </c>
      <c r="M13" s="627" t="s">
        <v>17</v>
      </c>
      <c r="N13" s="627" t="s">
        <v>18</v>
      </c>
      <c r="O13" s="717"/>
    </row>
    <row r="14" spans="1:15" x14ac:dyDescent="0.25">
      <c r="A14" s="770">
        <v>10</v>
      </c>
      <c r="B14" s="560" t="s">
        <v>273</v>
      </c>
      <c r="C14" s="560"/>
      <c r="D14" s="563">
        <v>305</v>
      </c>
      <c r="E14" s="560"/>
      <c r="F14" s="560" t="s">
        <v>35</v>
      </c>
      <c r="G14" s="560"/>
      <c r="H14" s="564"/>
      <c r="I14" s="629"/>
      <c r="J14" s="630"/>
      <c r="K14" s="564"/>
      <c r="L14" s="564"/>
      <c r="M14" s="566">
        <v>1</v>
      </c>
      <c r="N14" s="563">
        <f>D14*M14</f>
        <v>305</v>
      </c>
      <c r="O14" s="717"/>
    </row>
    <row r="15" spans="1:15" s="22" customFormat="1" x14ac:dyDescent="0.25">
      <c r="A15" s="770">
        <v>20</v>
      </c>
      <c r="B15" s="560" t="s">
        <v>274</v>
      </c>
      <c r="C15" s="631"/>
      <c r="D15" s="563">
        <v>25</v>
      </c>
      <c r="E15" s="632"/>
      <c r="F15" s="632" t="s">
        <v>35</v>
      </c>
      <c r="G15" s="632"/>
      <c r="H15" s="564"/>
      <c r="I15" s="633"/>
      <c r="J15" s="634"/>
      <c r="K15" s="635"/>
      <c r="L15" s="836"/>
      <c r="M15" s="566">
        <v>1</v>
      </c>
      <c r="N15" s="563">
        <f>D15*M15</f>
        <v>25</v>
      </c>
      <c r="O15" s="837"/>
    </row>
    <row r="16" spans="1:15" x14ac:dyDescent="0.25">
      <c r="A16" s="838">
        <v>30</v>
      </c>
      <c r="B16" s="839" t="s">
        <v>275</v>
      </c>
      <c r="C16" s="840"/>
      <c r="D16" s="563">
        <v>0</v>
      </c>
      <c r="E16" s="840"/>
      <c r="F16" s="840" t="s">
        <v>35</v>
      </c>
      <c r="G16" s="840"/>
      <c r="H16" s="840"/>
      <c r="I16" s="840"/>
      <c r="J16" s="840"/>
      <c r="K16" s="840"/>
      <c r="L16" s="840"/>
      <c r="M16" s="840">
        <v>2</v>
      </c>
      <c r="N16" s="563">
        <f>D16*M16</f>
        <v>0</v>
      </c>
      <c r="O16" s="717"/>
    </row>
    <row r="17" spans="1:15" x14ac:dyDescent="0.25">
      <c r="A17" s="838">
        <v>40</v>
      </c>
      <c r="B17" s="839" t="s">
        <v>276</v>
      </c>
      <c r="C17" s="840" t="s">
        <v>358</v>
      </c>
      <c r="D17" s="563">
        <v>10</v>
      </c>
      <c r="E17" s="840">
        <v>4.0000000000000001E-3</v>
      </c>
      <c r="F17" s="840" t="s">
        <v>202</v>
      </c>
      <c r="G17" s="840"/>
      <c r="H17" s="840"/>
      <c r="I17" s="840"/>
      <c r="J17" s="840"/>
      <c r="K17" s="840"/>
      <c r="L17" s="840"/>
      <c r="M17" s="840">
        <v>1</v>
      </c>
      <c r="N17" s="563">
        <f>D17*E17*M17</f>
        <v>0.04</v>
      </c>
      <c r="O17" s="717"/>
    </row>
    <row r="18" spans="1:15" x14ac:dyDescent="0.25">
      <c r="A18" s="713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38" t="s">
        <v>18</v>
      </c>
      <c r="N18" s="234">
        <f>SUM(N14:N17)</f>
        <v>330.04</v>
      </c>
      <c r="O18" s="717"/>
    </row>
    <row r="19" spans="1:15" x14ac:dyDescent="0.25">
      <c r="A19" s="835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17"/>
    </row>
    <row r="20" spans="1:15" s="25" customFormat="1" x14ac:dyDescent="0.25">
      <c r="A20" s="697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841"/>
    </row>
    <row r="21" spans="1:15" s="25" customFormat="1" x14ac:dyDescent="0.25">
      <c r="A21" s="842">
        <v>10</v>
      </c>
      <c r="B21" s="843" t="s">
        <v>278</v>
      </c>
      <c r="C21" s="844" t="s">
        <v>359</v>
      </c>
      <c r="D21" s="844">
        <v>0.38</v>
      </c>
      <c r="E21" s="844" t="s">
        <v>40</v>
      </c>
      <c r="F21" s="844">
        <f>2*1.7</f>
        <v>3.4</v>
      </c>
      <c r="G21" s="844"/>
      <c r="H21" s="844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41"/>
    </row>
    <row r="22" spans="1:15" s="25" customFormat="1" x14ac:dyDescent="0.25">
      <c r="A22" s="845">
        <v>20</v>
      </c>
      <c r="B22" s="846" t="s">
        <v>280</v>
      </c>
      <c r="C22" s="846" t="s">
        <v>360</v>
      </c>
      <c r="D22" s="248">
        <v>5.25</v>
      </c>
      <c r="E22" s="847" t="s">
        <v>202</v>
      </c>
      <c r="F22" s="847">
        <v>4.0000000000000001E-3</v>
      </c>
      <c r="G22" s="844"/>
      <c r="H22" s="844"/>
      <c r="I22" s="74">
        <f t="shared" si="0"/>
        <v>2.1000000000000001E-2</v>
      </c>
      <c r="J22" s="24"/>
      <c r="K22" s="24"/>
      <c r="L22" s="24"/>
      <c r="M22" s="24"/>
      <c r="N22" s="24"/>
      <c r="O22" s="841"/>
    </row>
    <row r="23" spans="1:15" x14ac:dyDescent="0.25">
      <c r="A23" s="708">
        <v>30</v>
      </c>
      <c r="B23" s="843" t="s">
        <v>282</v>
      </c>
      <c r="C23" s="72" t="s">
        <v>283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17"/>
    </row>
    <row r="24" spans="1:15" x14ac:dyDescent="0.25">
      <c r="A24" s="718">
        <v>40</v>
      </c>
      <c r="B24" s="848" t="s">
        <v>284</v>
      </c>
      <c r="C24" s="228" t="s">
        <v>285</v>
      </c>
      <c r="D24" s="230">
        <v>2</v>
      </c>
      <c r="E24" s="849" t="s">
        <v>35</v>
      </c>
      <c r="F24" s="228">
        <v>2</v>
      </c>
      <c r="G24" s="228"/>
      <c r="H24" s="228"/>
      <c r="I24" s="230">
        <f t="shared" si="0"/>
        <v>4</v>
      </c>
      <c r="J24" s="57"/>
      <c r="K24" s="57"/>
      <c r="L24" s="57"/>
      <c r="M24" s="57"/>
      <c r="N24" s="57"/>
      <c r="O24" s="717"/>
    </row>
    <row r="25" spans="1:15" x14ac:dyDescent="0.25">
      <c r="A25" s="701">
        <v>50</v>
      </c>
      <c r="B25" s="850" t="s">
        <v>286</v>
      </c>
      <c r="C25" s="850" t="s">
        <v>287</v>
      </c>
      <c r="D25" s="272">
        <v>0.06</v>
      </c>
      <c r="E25" s="665" t="s">
        <v>35</v>
      </c>
      <c r="F25" s="665">
        <v>2</v>
      </c>
      <c r="G25" s="665"/>
      <c r="H25" s="665"/>
      <c r="I25" s="272">
        <f t="shared" si="0"/>
        <v>0.12</v>
      </c>
      <c r="J25" s="57"/>
      <c r="K25" s="57"/>
      <c r="L25" s="57"/>
      <c r="M25" s="57"/>
      <c r="N25" s="57"/>
      <c r="O25" s="717"/>
    </row>
    <row r="26" spans="1:15" s="17" customFormat="1" x14ac:dyDescent="0.25">
      <c r="A26" s="701">
        <v>60</v>
      </c>
      <c r="B26" s="850" t="s">
        <v>286</v>
      </c>
      <c r="C26" s="850" t="s">
        <v>288</v>
      </c>
      <c r="D26" s="272">
        <v>0.06</v>
      </c>
      <c r="E26" s="665" t="s">
        <v>35</v>
      </c>
      <c r="F26" s="665">
        <v>2</v>
      </c>
      <c r="G26" s="665"/>
      <c r="H26" s="665"/>
      <c r="I26" s="272">
        <f t="shared" si="0"/>
        <v>0.12</v>
      </c>
      <c r="J26" s="57"/>
      <c r="K26" s="57"/>
      <c r="L26" s="57"/>
      <c r="M26" s="57"/>
      <c r="N26" s="57"/>
      <c r="O26" s="717"/>
    </row>
    <row r="27" spans="1:15" s="25" customFormat="1" x14ac:dyDescent="0.25">
      <c r="A27" s="701">
        <v>70</v>
      </c>
      <c r="B27" s="244" t="s">
        <v>289</v>
      </c>
      <c r="C27" s="850" t="s">
        <v>361</v>
      </c>
      <c r="D27" s="272">
        <v>0.12</v>
      </c>
      <c r="E27" s="665" t="s">
        <v>35</v>
      </c>
      <c r="F27" s="665">
        <v>2</v>
      </c>
      <c r="G27" s="665"/>
      <c r="H27" s="665"/>
      <c r="I27" s="272">
        <f t="shared" si="0"/>
        <v>0.24</v>
      </c>
      <c r="J27" s="57"/>
      <c r="K27" s="57"/>
      <c r="L27" s="57"/>
      <c r="M27" s="57"/>
      <c r="N27" s="57"/>
      <c r="O27" s="841"/>
    </row>
    <row r="28" spans="1:15" s="25" customFormat="1" x14ac:dyDescent="0.25">
      <c r="A28" s="701">
        <v>80</v>
      </c>
      <c r="B28" s="244" t="s">
        <v>289</v>
      </c>
      <c r="C28" s="850" t="s">
        <v>291</v>
      </c>
      <c r="D28" s="272">
        <v>0.12</v>
      </c>
      <c r="E28" s="665" t="s">
        <v>35</v>
      </c>
      <c r="F28" s="665">
        <v>2</v>
      </c>
      <c r="G28" s="665"/>
      <c r="H28" s="665"/>
      <c r="I28" s="272">
        <f t="shared" si="0"/>
        <v>0.24</v>
      </c>
      <c r="J28" s="57"/>
      <c r="K28" s="57"/>
      <c r="L28" s="57"/>
      <c r="M28" s="57"/>
      <c r="N28" s="57"/>
      <c r="O28" s="841"/>
    </row>
    <row r="29" spans="1:15" s="17" customFormat="1" x14ac:dyDescent="0.25">
      <c r="A29" s="701">
        <v>90</v>
      </c>
      <c r="B29" s="244" t="s">
        <v>292</v>
      </c>
      <c r="C29" s="850" t="s">
        <v>293</v>
      </c>
      <c r="D29" s="272">
        <v>0.75</v>
      </c>
      <c r="E29" s="851" t="s">
        <v>35</v>
      </c>
      <c r="F29" s="665">
        <v>2</v>
      </c>
      <c r="G29" s="665"/>
      <c r="H29" s="665"/>
      <c r="I29" s="272">
        <f t="shared" si="0"/>
        <v>1.5</v>
      </c>
      <c r="J29" s="57"/>
      <c r="K29" s="57"/>
      <c r="L29" s="57"/>
      <c r="M29" s="57"/>
      <c r="N29" s="57"/>
      <c r="O29" s="717"/>
    </row>
    <row r="30" spans="1:15" s="17" customFormat="1" x14ac:dyDescent="0.25">
      <c r="A30" s="701">
        <v>100</v>
      </c>
      <c r="B30" s="244" t="s">
        <v>294</v>
      </c>
      <c r="C30" s="850" t="s">
        <v>293</v>
      </c>
      <c r="D30" s="272">
        <v>0.25</v>
      </c>
      <c r="E30" s="851" t="s">
        <v>35</v>
      </c>
      <c r="F30" s="665">
        <v>2</v>
      </c>
      <c r="G30" s="665"/>
      <c r="H30" s="665"/>
      <c r="I30" s="272">
        <f t="shared" si="0"/>
        <v>0.5</v>
      </c>
      <c r="J30" s="57"/>
      <c r="K30" s="57"/>
      <c r="L30" s="57"/>
      <c r="M30" s="57"/>
      <c r="N30" s="57"/>
      <c r="O30" s="717"/>
    </row>
    <row r="31" spans="1:15" x14ac:dyDescent="0.25">
      <c r="A31" s="713"/>
      <c r="B31" s="24"/>
      <c r="C31" s="24"/>
      <c r="D31" s="24"/>
      <c r="E31" s="24"/>
      <c r="F31" s="24"/>
      <c r="G31" s="24"/>
      <c r="H31" s="254" t="s">
        <v>18</v>
      </c>
      <c r="I31" s="234">
        <f>SUM(I23:I25)</f>
        <v>4.24</v>
      </c>
      <c r="J31" s="57"/>
      <c r="K31" s="57"/>
      <c r="L31" s="57"/>
      <c r="M31" s="57"/>
      <c r="N31" s="57"/>
      <c r="O31" s="717"/>
    </row>
    <row r="32" spans="1:15" x14ac:dyDescent="0.25">
      <c r="A32" s="835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17"/>
    </row>
    <row r="33" spans="1:15" x14ac:dyDescent="0.25">
      <c r="A33" s="697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7"/>
      <c r="L33" s="57"/>
      <c r="M33" s="57"/>
      <c r="N33" s="57"/>
      <c r="O33" s="717"/>
    </row>
    <row r="34" spans="1:15" x14ac:dyDescent="0.25">
      <c r="A34" s="708">
        <v>10</v>
      </c>
      <c r="B34" s="72" t="s">
        <v>295</v>
      </c>
      <c r="C34" s="72" t="s">
        <v>362</v>
      </c>
      <c r="D34" s="653">
        <f>0.8/105154*E34^2*G34*SQRT(G34)+0.003*EXP(0.319*E34)</f>
        <v>0.13931812332052654</v>
      </c>
      <c r="E34" s="654">
        <v>8</v>
      </c>
      <c r="F34" s="654" t="s">
        <v>30</v>
      </c>
      <c r="G34" s="654">
        <v>35</v>
      </c>
      <c r="H34" s="654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17"/>
    </row>
    <row r="35" spans="1:15" x14ac:dyDescent="0.25">
      <c r="A35" s="708">
        <v>20</v>
      </c>
      <c r="B35" s="72" t="s">
        <v>297</v>
      </c>
      <c r="C35" s="72" t="s">
        <v>362</v>
      </c>
      <c r="D35" s="653">
        <v>0.01</v>
      </c>
      <c r="E35" s="72">
        <v>8</v>
      </c>
      <c r="F35" s="655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17"/>
    </row>
    <row r="36" spans="1:15" x14ac:dyDescent="0.25">
      <c r="A36" s="708">
        <v>30</v>
      </c>
      <c r="B36" s="72" t="s">
        <v>298</v>
      </c>
      <c r="C36" s="72" t="s">
        <v>362</v>
      </c>
      <c r="D36" s="653">
        <f>0.009*EXP(0.2*E36)</f>
        <v>4.4577291819556032E-2</v>
      </c>
      <c r="E36" s="72">
        <v>8</v>
      </c>
      <c r="F36" s="655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17"/>
    </row>
    <row r="37" spans="1:15" x14ac:dyDescent="0.25">
      <c r="A37" s="713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0.40779083028016511</v>
      </c>
      <c r="K37" s="57"/>
      <c r="L37" s="57"/>
      <c r="M37" s="57"/>
      <c r="N37" s="57"/>
      <c r="O37" s="717"/>
    </row>
    <row r="38" spans="1:15" x14ac:dyDescent="0.25">
      <c r="A38" s="835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17"/>
    </row>
    <row r="39" spans="1:15" x14ac:dyDescent="0.25">
      <c r="A39" s="697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7"/>
      <c r="L39" s="57"/>
      <c r="M39" s="57"/>
      <c r="N39" s="57"/>
      <c r="O39" s="717"/>
    </row>
    <row r="40" spans="1:15" x14ac:dyDescent="0.25">
      <c r="A40" s="708">
        <v>10</v>
      </c>
      <c r="B40" s="72" t="s">
        <v>182</v>
      </c>
      <c r="C40" s="852" t="s">
        <v>299</v>
      </c>
      <c r="D40" s="74">
        <v>500</v>
      </c>
      <c r="E40" s="72" t="s">
        <v>184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17"/>
    </row>
    <row r="41" spans="1:15" x14ac:dyDescent="0.25">
      <c r="A41" s="713"/>
      <c r="B41" s="24"/>
      <c r="C41" s="24"/>
      <c r="D41" s="24"/>
      <c r="E41" s="24"/>
      <c r="F41" s="24"/>
      <c r="G41" s="24"/>
      <c r="H41" s="254" t="s">
        <v>18</v>
      </c>
      <c r="I41" s="234">
        <f>SUM(I40:I40)</f>
        <v>0.33333333333333331</v>
      </c>
      <c r="J41" s="24"/>
      <c r="K41" s="57"/>
      <c r="L41" s="57"/>
      <c r="M41" s="57"/>
      <c r="N41" s="57"/>
      <c r="O41" s="717"/>
    </row>
    <row r="42" spans="1:15" ht="15.75" thickBot="1" x14ac:dyDescent="0.3">
      <c r="A42" s="853"/>
      <c r="B42" s="854"/>
      <c r="C42" s="854"/>
      <c r="D42" s="854"/>
      <c r="E42" s="854"/>
      <c r="F42" s="854"/>
      <c r="G42" s="854"/>
      <c r="H42" s="854"/>
      <c r="I42" s="854"/>
      <c r="J42" s="854"/>
      <c r="K42" s="854"/>
      <c r="L42" s="854"/>
      <c r="M42" s="854"/>
      <c r="N42" s="854"/>
      <c r="O42" s="855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25">
      <c r="B45" s="56"/>
      <c r="C45" s="56"/>
      <c r="D45" s="56"/>
      <c r="E45" s="56"/>
      <c r="F45" s="56"/>
    </row>
    <row r="46" spans="1:15" x14ac:dyDescent="0.25">
      <c r="B46" s="56"/>
      <c r="C46" s="657"/>
      <c r="D46" s="657"/>
      <c r="E46" s="56"/>
      <c r="F46" s="56"/>
    </row>
    <row r="47" spans="1:15" x14ac:dyDescent="0.25">
      <c r="B47" s="56"/>
      <c r="C47" s="657"/>
      <c r="D47" s="657"/>
      <c r="E47" s="56"/>
      <c r="F47" s="56"/>
    </row>
    <row r="48" spans="1:15" x14ac:dyDescent="0.25">
      <c r="B48" s="56"/>
      <c r="C48" s="658"/>
      <c r="D48" s="657"/>
      <c r="E48" s="56"/>
      <c r="F48" s="56"/>
    </row>
    <row r="49" spans="2:6" x14ac:dyDescent="0.25">
      <c r="B49" s="56"/>
      <c r="C49" s="658"/>
      <c r="D49" s="657"/>
      <c r="E49" s="56"/>
      <c r="F49" s="56"/>
    </row>
    <row r="50" spans="2:6" x14ac:dyDescent="0.25">
      <c r="B50" s="56"/>
      <c r="C50" s="658"/>
      <c r="D50" s="657"/>
      <c r="E50" s="56"/>
      <c r="F50" s="56"/>
    </row>
    <row r="51" spans="2:6" x14ac:dyDescent="0.25">
      <c r="B51" s="56"/>
      <c r="C51" s="658"/>
      <c r="D51" s="657"/>
      <c r="E51" s="56"/>
      <c r="F51" s="56"/>
    </row>
    <row r="52" spans="2:6" x14ac:dyDescent="0.25">
      <c r="B52" s="56"/>
      <c r="C52" s="658"/>
      <c r="D52" s="657"/>
      <c r="E52" s="56"/>
      <c r="F52" s="56"/>
    </row>
  </sheetData>
  <hyperlinks>
    <hyperlink ref="B10" location="SU_07001" display="Shock Rear Bracket" xr:uid="{00000000-0004-0000-5E00-000000000000}"/>
    <hyperlink ref="E2" location="SU_A0700_BOM" display="Back to BOM" xr:uid="{00000000-0004-0000-5E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7.28515625" customWidth="1"/>
    <col min="3" max="3" width="16.85546875" customWidth="1"/>
    <col min="7" max="7" width="13.85546875" customWidth="1"/>
    <col min="9" max="9" width="26.28515625" customWidth="1"/>
    <col min="10" max="10" width="12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SU_07001_m+SU_07001_p</f>
        <v>5.9234014172552163</v>
      </c>
      <c r="O2" s="62"/>
    </row>
    <row r="3" spans="1:15" x14ac:dyDescent="0.25">
      <c r="A3" s="99" t="s">
        <v>3</v>
      </c>
      <c r="B3" s="16" t="str">
        <f>'SU A0700'!B3</f>
        <v>Suspension &amp; Shocks</v>
      </c>
      <c r="C3" s="56"/>
      <c r="D3" s="99" t="s">
        <v>6</v>
      </c>
      <c r="E3" s="270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A0700'!B4</f>
        <v>Rear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364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25">
      <c r="A6" s="99" t="s">
        <v>7</v>
      </c>
      <c r="B6" s="56" t="s">
        <v>363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 t="s">
        <v>300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25">
      <c r="A11" s="85">
        <v>10</v>
      </c>
      <c r="B11" s="659" t="s">
        <v>301</v>
      </c>
      <c r="C11" s="20" t="s">
        <v>302</v>
      </c>
      <c r="D11" s="272">
        <v>2.25</v>
      </c>
      <c r="E11" s="660">
        <f>J11*K11*L11</f>
        <v>0.17182285211342935</v>
      </c>
      <c r="F11" s="20" t="s">
        <v>141</v>
      </c>
      <c r="G11" s="20"/>
      <c r="H11" s="273"/>
      <c r="I11" s="21" t="s">
        <v>303</v>
      </c>
      <c r="J11" s="661">
        <f>PI()*0.0155^2</f>
        <v>7.5476763502494771E-4</v>
      </c>
      <c r="K11" s="662">
        <v>2.9000000000000001E-2</v>
      </c>
      <c r="L11" s="663">
        <v>7850</v>
      </c>
      <c r="M11" s="23">
        <v>1</v>
      </c>
      <c r="N11" s="272">
        <f>E11*D11</f>
        <v>0.38660141725521602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64"/>
      <c r="L14" s="24"/>
      <c r="M14" s="24"/>
      <c r="N14" s="24"/>
      <c r="O14" s="62"/>
    </row>
    <row r="15" spans="1:15" s="25" customFormat="1" x14ac:dyDescent="0.25">
      <c r="A15" s="772">
        <v>10</v>
      </c>
      <c r="B15" s="671" t="s">
        <v>39</v>
      </c>
      <c r="C15" s="670" t="s">
        <v>68</v>
      </c>
      <c r="D15" s="272">
        <v>1.3</v>
      </c>
      <c r="E15" s="671" t="s">
        <v>35</v>
      </c>
      <c r="F15" s="670">
        <v>1</v>
      </c>
      <c r="G15" s="670"/>
      <c r="H15" s="670"/>
      <c r="I15" s="27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25">
      <c r="A16" s="85">
        <v>11</v>
      </c>
      <c r="B16" s="671" t="s">
        <v>92</v>
      </c>
      <c r="C16" s="20" t="s">
        <v>304</v>
      </c>
      <c r="D16" s="272">
        <v>0.04</v>
      </c>
      <c r="E16" s="20" t="s">
        <v>93</v>
      </c>
      <c r="F16" s="773">
        <v>2.64</v>
      </c>
      <c r="G16" s="671" t="s">
        <v>305</v>
      </c>
      <c r="H16" s="670">
        <v>3</v>
      </c>
      <c r="I16" s="272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25">
      <c r="A17" s="772">
        <v>20</v>
      </c>
      <c r="B17" s="671" t="s">
        <v>306</v>
      </c>
      <c r="C17" s="670"/>
      <c r="D17" s="272">
        <v>0.65</v>
      </c>
      <c r="E17" s="671"/>
      <c r="F17" s="670">
        <v>1</v>
      </c>
      <c r="G17" s="670"/>
      <c r="H17" s="670"/>
      <c r="I17" s="272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25">
      <c r="A18" s="85">
        <v>21</v>
      </c>
      <c r="B18" s="671" t="s">
        <v>92</v>
      </c>
      <c r="C18" s="20" t="s">
        <v>304</v>
      </c>
      <c r="D18" s="272">
        <v>0.04</v>
      </c>
      <c r="E18" s="20" t="s">
        <v>93</v>
      </c>
      <c r="F18" s="773">
        <v>9.1999999999999993</v>
      </c>
      <c r="G18" s="671" t="s">
        <v>305</v>
      </c>
      <c r="H18" s="670">
        <v>3</v>
      </c>
      <c r="I18" s="272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25">
      <c r="A19" s="772">
        <v>22</v>
      </c>
      <c r="B19" s="671" t="s">
        <v>306</v>
      </c>
      <c r="C19" s="670"/>
      <c r="D19" s="272">
        <v>0.65</v>
      </c>
      <c r="E19" s="671"/>
      <c r="F19" s="670">
        <v>1</v>
      </c>
      <c r="G19" s="670"/>
      <c r="H19" s="670"/>
      <c r="I19" s="272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25">
      <c r="A20" s="85">
        <v>23</v>
      </c>
      <c r="B20" s="671" t="s">
        <v>92</v>
      </c>
      <c r="C20" s="20" t="s">
        <v>304</v>
      </c>
      <c r="D20" s="272">
        <v>0.04</v>
      </c>
      <c r="E20" s="20" t="s">
        <v>93</v>
      </c>
      <c r="F20" s="773">
        <v>6.8</v>
      </c>
      <c r="G20" s="671" t="s">
        <v>305</v>
      </c>
      <c r="H20" s="670">
        <v>3</v>
      </c>
      <c r="I20" s="272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25">
      <c r="A21" s="20">
        <v>30</v>
      </c>
      <c r="B21" s="672" t="s">
        <v>307</v>
      </c>
      <c r="C21" s="20" t="s">
        <v>304</v>
      </c>
      <c r="D21" s="272">
        <v>0.35</v>
      </c>
      <c r="E21" s="20" t="s">
        <v>198</v>
      </c>
      <c r="F21" s="773">
        <v>2</v>
      </c>
      <c r="G21" s="671"/>
      <c r="H21" s="774"/>
      <c r="I21" s="667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25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.75" thickBot="1" x14ac:dyDescent="0.3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 xr:uid="{00000000-0004-0000-5F00-000000000000}"/>
    <hyperlink ref="E3" location="dSU_07001" display="Drawing" xr:uid="{00000000-0004-0000-5F00-000001000000}"/>
    <hyperlink ref="B6" location="SU_A0500" display="SU 510_001" xr:uid="{00000000-0004-0000-5F00-000002000000}"/>
    <hyperlink ref="G2" location="SU_A0700_BOM" display="Back to BOM" xr:uid="{00000000-0004-0000-5F00-000003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0" t="s">
        <v>365</v>
      </c>
    </row>
  </sheetData>
  <hyperlinks>
    <hyperlink ref="B1" location="SU_07001" display="SU_07001" xr:uid="{00000000-0004-0000-6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sheetPr>
    <tabColor rgb="FFFFFF00"/>
    <pageSetUpPr fitToPage="1"/>
  </sheetPr>
  <dimension ref="A1:O43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SU_A0800_pa+SU_A0800_m+SU_A0800_p+SU_A0800_f+SU_A0800_t</f>
        <v>15.066700055803517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368</v>
      </c>
      <c r="C4" s="698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369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N2*SU_A0800_q</f>
        <v>30.133400111607035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370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27" t="s">
        <v>14</v>
      </c>
      <c r="B9" s="627" t="s">
        <v>15</v>
      </c>
      <c r="C9" s="627" t="s">
        <v>16</v>
      </c>
      <c r="D9" s="627" t="s">
        <v>17</v>
      </c>
      <c r="E9" s="62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65">
        <v>10</v>
      </c>
      <c r="B10" s="702" t="s">
        <v>311</v>
      </c>
      <c r="C10" s="272">
        <f>'SU 08001'!N2</f>
        <v>1.3710986506763019</v>
      </c>
      <c r="D10" s="828">
        <f>SU_08001_q</f>
        <v>2</v>
      </c>
      <c r="E10" s="272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65">
        <v>20</v>
      </c>
      <c r="B11" s="705" t="s">
        <v>313</v>
      </c>
      <c r="C11" s="272">
        <f>'SU 08002'!N2</f>
        <v>2.0644187499999997</v>
      </c>
      <c r="D11" s="828">
        <f>SU_08002_q</f>
        <v>2</v>
      </c>
      <c r="E11" s="272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25">
      <c r="A12" s="776">
        <v>30</v>
      </c>
      <c r="B12" s="702" t="s">
        <v>367</v>
      </c>
      <c r="C12" s="272">
        <f>'SU 08003'!N2</f>
        <v>3.3779399999999997</v>
      </c>
      <c r="D12" s="828">
        <f>SU_08003_q</f>
        <v>1</v>
      </c>
      <c r="E12" s="272">
        <f>C12*D12</f>
        <v>3.3779399999999997</v>
      </c>
    </row>
    <row r="13" spans="1:15" x14ac:dyDescent="0.25">
      <c r="A13" s="63"/>
      <c r="B13" s="56"/>
      <c r="C13" s="56"/>
      <c r="D13" s="254" t="s">
        <v>18</v>
      </c>
      <c r="E13" s="23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25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25">
      <c r="A15" s="95" t="s">
        <v>14</v>
      </c>
      <c r="B15" s="95" t="s">
        <v>19</v>
      </c>
      <c r="C15" s="95" t="s">
        <v>20</v>
      </c>
      <c r="D15" s="95" t="s">
        <v>21</v>
      </c>
      <c r="E15" s="95" t="s">
        <v>22</v>
      </c>
      <c r="F15" s="95" t="s">
        <v>23</v>
      </c>
      <c r="G15" s="95" t="s">
        <v>24</v>
      </c>
      <c r="H15" s="95" t="s">
        <v>25</v>
      </c>
      <c r="I15" s="95" t="s">
        <v>26</v>
      </c>
      <c r="J15" s="95" t="s">
        <v>27</v>
      </c>
      <c r="K15" s="95" t="s">
        <v>28</v>
      </c>
      <c r="L15" s="95" t="s">
        <v>29</v>
      </c>
      <c r="M15" s="95" t="s">
        <v>17</v>
      </c>
      <c r="N15" s="95" t="s">
        <v>18</v>
      </c>
      <c r="O15" s="62"/>
    </row>
    <row r="16" spans="1:15" x14ac:dyDescent="0.25">
      <c r="A16" s="72">
        <v>10</v>
      </c>
      <c r="B16" s="72" t="s">
        <v>276</v>
      </c>
      <c r="C16" s="72" t="s">
        <v>318</v>
      </c>
      <c r="D16" s="74">
        <v>10</v>
      </c>
      <c r="E16" s="72">
        <v>5.0000000000000001E-3</v>
      </c>
      <c r="F16" s="72" t="s">
        <v>202</v>
      </c>
      <c r="G16" s="72"/>
      <c r="H16" s="75"/>
      <c r="I16" s="76"/>
      <c r="J16" s="77"/>
      <c r="K16" s="75"/>
      <c r="L16" s="75"/>
      <c r="M16" s="829">
        <v>2</v>
      </c>
      <c r="N16" s="74">
        <f>M16*D16*E16</f>
        <v>0.1</v>
      </c>
      <c r="O16" s="62"/>
    </row>
    <row r="17" spans="1:15" s="22" customFormat="1" x14ac:dyDescent="0.25">
      <c r="A17" s="72">
        <v>20</v>
      </c>
      <c r="B17" s="72" t="s">
        <v>276</v>
      </c>
      <c r="C17" s="709" t="s">
        <v>319</v>
      </c>
      <c r="D17" s="74">
        <v>10</v>
      </c>
      <c r="E17" s="710">
        <v>5.0000000000000001E-3</v>
      </c>
      <c r="F17" s="710" t="s">
        <v>202</v>
      </c>
      <c r="G17" s="710"/>
      <c r="H17" s="75"/>
      <c r="I17" s="711"/>
      <c r="J17" s="94"/>
      <c r="K17" s="78"/>
      <c r="L17" s="79"/>
      <c r="M17" s="829">
        <v>2</v>
      </c>
      <c r="N17" s="74">
        <f>M17*D17*E17</f>
        <v>0.1</v>
      </c>
      <c r="O17" s="66"/>
    </row>
    <row r="18" spans="1:15" x14ac:dyDescent="0.25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5" t="s">
        <v>18</v>
      </c>
      <c r="N18" s="97">
        <f>SUM(N16:N17)</f>
        <v>0.2</v>
      </c>
      <c r="O18" s="62"/>
    </row>
    <row r="19" spans="1:15" x14ac:dyDescent="0.25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25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x14ac:dyDescent="0.25">
      <c r="A21" s="72">
        <v>10</v>
      </c>
      <c r="B21" s="72" t="s">
        <v>160</v>
      </c>
      <c r="C21" s="72" t="s">
        <v>320</v>
      </c>
      <c r="D21" s="74">
        <v>0.15</v>
      </c>
      <c r="E21" s="72" t="s">
        <v>40</v>
      </c>
      <c r="F21" s="715">
        <f>11.5*2</f>
        <v>23</v>
      </c>
      <c r="G21" s="715"/>
      <c r="H21" s="715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25">
      <c r="A22" s="72">
        <v>20</v>
      </c>
      <c r="B22" s="716" t="s">
        <v>280</v>
      </c>
      <c r="C22" s="72" t="s">
        <v>321</v>
      </c>
      <c r="D22" s="74">
        <v>5.25</v>
      </c>
      <c r="E22" s="716" t="s">
        <v>202</v>
      </c>
      <c r="F22" s="715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25">
      <c r="A23" s="72">
        <v>30</v>
      </c>
      <c r="B23" s="716" t="s">
        <v>280</v>
      </c>
      <c r="C23" s="72" t="s">
        <v>322</v>
      </c>
      <c r="D23" s="74">
        <v>5.25</v>
      </c>
      <c r="E23" s="72" t="s">
        <v>202</v>
      </c>
      <c r="F23" s="715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25">
      <c r="A24" s="72">
        <v>40</v>
      </c>
      <c r="B24" s="716" t="s">
        <v>154</v>
      </c>
      <c r="C24" s="72" t="s">
        <v>371</v>
      </c>
      <c r="D24" s="74">
        <v>0.06</v>
      </c>
      <c r="E24" s="72" t="s">
        <v>35</v>
      </c>
      <c r="F24" s="715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25">
      <c r="A25" s="72">
        <v>50</v>
      </c>
      <c r="B25" s="716" t="s">
        <v>154</v>
      </c>
      <c r="C25" s="72" t="s">
        <v>372</v>
      </c>
      <c r="D25" s="74">
        <v>0.06</v>
      </c>
      <c r="E25" s="72" t="s">
        <v>35</v>
      </c>
      <c r="F25" s="715">
        <v>2</v>
      </c>
      <c r="G25" s="715"/>
      <c r="H25" s="715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5" customHeight="1" x14ac:dyDescent="0.25">
      <c r="A26" s="228">
        <v>60</v>
      </c>
      <c r="B26" s="719" t="s">
        <v>154</v>
      </c>
      <c r="C26" s="719" t="s">
        <v>325</v>
      </c>
      <c r="D26" s="74">
        <v>0.06</v>
      </c>
      <c r="E26" s="719" t="s">
        <v>35</v>
      </c>
      <c r="F26" s="720">
        <v>2</v>
      </c>
      <c r="G26" s="22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5" customHeight="1" x14ac:dyDescent="0.25">
      <c r="A27" s="665">
        <v>70</v>
      </c>
      <c r="B27" s="721" t="s">
        <v>289</v>
      </c>
      <c r="C27" s="777" t="s">
        <v>326</v>
      </c>
      <c r="D27" s="272">
        <v>0.12</v>
      </c>
      <c r="E27" s="27" t="s">
        <v>35</v>
      </c>
      <c r="F27" s="26">
        <v>1</v>
      </c>
      <c r="G27" s="665"/>
      <c r="H27" s="722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5" customHeight="1" x14ac:dyDescent="0.25">
      <c r="A28" s="665">
        <v>80</v>
      </c>
      <c r="B28" s="721" t="s">
        <v>289</v>
      </c>
      <c r="C28" s="778" t="s">
        <v>327</v>
      </c>
      <c r="D28" s="272">
        <v>0.12</v>
      </c>
      <c r="E28" s="27" t="s">
        <v>35</v>
      </c>
      <c r="F28" s="26">
        <v>1</v>
      </c>
      <c r="G28" s="665"/>
      <c r="H28" s="722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5" customHeight="1" x14ac:dyDescent="0.25">
      <c r="A29" s="665">
        <v>90</v>
      </c>
      <c r="B29" s="721" t="s">
        <v>292</v>
      </c>
      <c r="C29" s="778" t="s">
        <v>293</v>
      </c>
      <c r="D29" s="272">
        <v>0.75</v>
      </c>
      <c r="E29" s="27" t="s">
        <v>35</v>
      </c>
      <c r="F29" s="26">
        <v>1</v>
      </c>
      <c r="G29" s="665"/>
      <c r="H29" s="722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5" customHeight="1" x14ac:dyDescent="0.25">
      <c r="A30" s="665">
        <v>100</v>
      </c>
      <c r="B30" s="721" t="s">
        <v>294</v>
      </c>
      <c r="C30" s="778" t="s">
        <v>293</v>
      </c>
      <c r="D30" s="272">
        <v>0.25</v>
      </c>
      <c r="E30" s="27" t="s">
        <v>35</v>
      </c>
      <c r="F30" s="26">
        <v>1</v>
      </c>
      <c r="G30" s="665"/>
      <c r="H30" s="722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25">
      <c r="A31" s="67"/>
      <c r="B31" s="24"/>
      <c r="C31" s="24"/>
      <c r="D31" s="24"/>
      <c r="E31" s="24"/>
      <c r="F31" s="24"/>
      <c r="G31" s="24"/>
      <c r="H31" s="98" t="s">
        <v>18</v>
      </c>
      <c r="I31" s="97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25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25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25">
      <c r="A34" s="72">
        <v>10</v>
      </c>
      <c r="B34" s="72" t="s">
        <v>295</v>
      </c>
      <c r="C34" s="72" t="s">
        <v>328</v>
      </c>
      <c r="D34" s="653">
        <f>0.8/105154*E34^2*G34*SQRT(G34)+0.003*EXP(0.319*E34)</f>
        <v>6.5344202146287819E-2</v>
      </c>
      <c r="E34" s="654">
        <v>6</v>
      </c>
      <c r="F34" s="654" t="s">
        <v>30</v>
      </c>
      <c r="G34" s="654">
        <v>30</v>
      </c>
      <c r="H34" s="654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25">
      <c r="A35" s="72">
        <v>20</v>
      </c>
      <c r="B35" s="72" t="s">
        <v>297</v>
      </c>
      <c r="C35" s="72" t="s">
        <v>328</v>
      </c>
      <c r="D35" s="653">
        <v>0.01</v>
      </c>
      <c r="E35" s="72"/>
      <c r="F35" s="655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25">
      <c r="A36" s="72">
        <v>30</v>
      </c>
      <c r="B36" s="72" t="s">
        <v>298</v>
      </c>
      <c r="C36" s="72" t="s">
        <v>328</v>
      </c>
      <c r="D36" s="653">
        <f>0.009*EXP(0.2*E36)</f>
        <v>2.9881052304628931E-2</v>
      </c>
      <c r="E36" s="72">
        <v>6</v>
      </c>
      <c r="F36" s="655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25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0.11522525445091675</v>
      </c>
      <c r="K37" s="56"/>
      <c r="L37" s="56"/>
      <c r="M37" s="56"/>
      <c r="N37" s="56"/>
      <c r="O37" s="62"/>
    </row>
    <row r="38" spans="1:15" x14ac:dyDescent="0.25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25">
      <c r="A39" s="95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25">
      <c r="A40" s="72">
        <v>10</v>
      </c>
      <c r="B40" s="72" t="s">
        <v>182</v>
      </c>
      <c r="C40" s="72" t="s">
        <v>329</v>
      </c>
      <c r="D40" s="74">
        <v>500</v>
      </c>
      <c r="E40" s="72" t="s">
        <v>184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54" t="s">
        <v>18</v>
      </c>
      <c r="I41" s="234">
        <f>SUM(I40:I40)</f>
        <v>1</v>
      </c>
      <c r="J41" s="24"/>
      <c r="K41" s="56"/>
      <c r="L41" s="56"/>
      <c r="M41" s="56"/>
      <c r="N41" s="56"/>
      <c r="O41" s="62"/>
    </row>
    <row r="42" spans="1:15" ht="15.75" thickBot="1" x14ac:dyDescent="0.3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 xr:uid="{00000000-0004-0000-6100-000000000000}"/>
    <hyperlink ref="B11" location="SU_08002" display="Sheets of metal for rocker" xr:uid="{00000000-0004-0000-6100-000001000000}"/>
    <hyperlink ref="B12" location="SU_08003" display="Rear rocker mount" xr:uid="{00000000-0004-0000-6100-000002000000}"/>
    <hyperlink ref="E2" location="SU_A0800_BOM" display="Back to BOM" xr:uid="{00000000-0004-0000-6100-000003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sheetPr>
    <tabColor rgb="FFFFFF66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0.42578125" customWidth="1"/>
    <col min="3" max="3" width="23.5703125" customWidth="1"/>
    <col min="7" max="7" width="14.5703125" customWidth="1"/>
    <col min="9" max="9" width="24.28515625" customWidth="1"/>
    <col min="10" max="10" width="13.5703125" customWidth="1"/>
  </cols>
  <sheetData>
    <row r="1" spans="1:15" x14ac:dyDescent="0.25">
      <c r="A1" s="265"/>
      <c r="B1" s="264"/>
      <c r="C1" s="264"/>
      <c r="D1" s="264"/>
      <c r="E1" s="264"/>
      <c r="F1" s="264"/>
      <c r="G1" s="264"/>
      <c r="H1" s="264"/>
      <c r="I1" s="264"/>
      <c r="J1" s="264"/>
      <c r="K1" s="264"/>
      <c r="L1" s="264"/>
      <c r="M1" s="264"/>
      <c r="N1" s="264"/>
      <c r="O1" s="261"/>
    </row>
    <row r="2" spans="1:15" x14ac:dyDescent="0.25">
      <c r="A2" s="779" t="s">
        <v>0</v>
      </c>
      <c r="B2" s="16" t="s">
        <v>37</v>
      </c>
      <c r="C2" s="780"/>
      <c r="D2" s="780"/>
      <c r="E2" s="780"/>
      <c r="F2" s="781" t="s">
        <v>62</v>
      </c>
      <c r="G2" s="780"/>
      <c r="H2" s="780"/>
      <c r="I2" s="780"/>
      <c r="J2" s="782" t="s">
        <v>1</v>
      </c>
      <c r="K2" s="783">
        <v>81</v>
      </c>
      <c r="L2" s="780"/>
      <c r="M2" s="779" t="s">
        <v>16</v>
      </c>
      <c r="N2" s="784">
        <f>SU_08001_m+SU_08001_p</f>
        <v>1.3710986506763019</v>
      </c>
      <c r="O2" s="259"/>
    </row>
    <row r="3" spans="1:15" x14ac:dyDescent="0.25">
      <c r="A3" s="779" t="s">
        <v>3</v>
      </c>
      <c r="B3" s="16" t="str">
        <f>'SU A0800'!B3</f>
        <v>Suspension &amp; Shocks</v>
      </c>
      <c r="C3" s="780"/>
      <c r="D3" s="779" t="s">
        <v>6</v>
      </c>
      <c r="E3" s="780"/>
      <c r="F3" s="780"/>
      <c r="G3" s="780"/>
      <c r="H3" s="780"/>
      <c r="I3" s="780"/>
      <c r="J3" s="780"/>
      <c r="K3" s="780"/>
      <c r="L3" s="780"/>
      <c r="M3" s="779" t="s">
        <v>4</v>
      </c>
      <c r="N3" s="785">
        <v>2</v>
      </c>
      <c r="O3" s="259"/>
    </row>
    <row r="4" spans="1:15" x14ac:dyDescent="0.25">
      <c r="A4" s="779" t="s">
        <v>5</v>
      </c>
      <c r="B4" s="87" t="str">
        <f>'SU A0800'!B4</f>
        <v>Rear Bell Crank</v>
      </c>
      <c r="C4" s="780"/>
      <c r="D4" s="779" t="s">
        <v>8</v>
      </c>
      <c r="E4" s="780"/>
      <c r="F4" s="780"/>
      <c r="G4" s="780"/>
      <c r="H4" s="780"/>
      <c r="I4" s="780"/>
      <c r="J4" s="779" t="s">
        <v>6</v>
      </c>
      <c r="K4" s="780"/>
      <c r="L4" s="780"/>
      <c r="M4" s="780"/>
      <c r="N4" s="780"/>
      <c r="O4" s="259"/>
    </row>
    <row r="5" spans="1:15" x14ac:dyDescent="0.25">
      <c r="A5" s="779" t="s">
        <v>15</v>
      </c>
      <c r="B5" s="730" t="s">
        <v>311</v>
      </c>
      <c r="C5" s="780"/>
      <c r="D5" s="779" t="s">
        <v>12</v>
      </c>
      <c r="E5" s="780"/>
      <c r="F5" s="780"/>
      <c r="G5" s="780"/>
      <c r="H5" s="780"/>
      <c r="I5" s="780"/>
      <c r="J5" s="779" t="s">
        <v>8</v>
      </c>
      <c r="K5" s="780"/>
      <c r="L5" s="780"/>
      <c r="M5" s="779" t="s">
        <v>9</v>
      </c>
      <c r="N5" s="784">
        <f>N2*SU_08001_q</f>
        <v>2.7421973013526038</v>
      </c>
      <c r="O5" s="259"/>
    </row>
    <row r="6" spans="1:15" x14ac:dyDescent="0.25">
      <c r="A6" s="779" t="s">
        <v>7</v>
      </c>
      <c r="B6" t="s">
        <v>373</v>
      </c>
      <c r="C6" s="780"/>
      <c r="D6" s="780"/>
      <c r="E6" s="780"/>
      <c r="F6" s="780"/>
      <c r="G6" s="780"/>
      <c r="H6" s="780"/>
      <c r="I6" s="780"/>
      <c r="J6" s="779" t="s">
        <v>12</v>
      </c>
      <c r="K6" s="780"/>
      <c r="L6" s="780"/>
      <c r="M6" s="780"/>
      <c r="N6" s="780"/>
      <c r="O6" s="259"/>
    </row>
    <row r="7" spans="1:15" x14ac:dyDescent="0.25">
      <c r="A7" s="779" t="s">
        <v>10</v>
      </c>
      <c r="B7" s="780" t="s">
        <v>11</v>
      </c>
      <c r="C7" s="780"/>
      <c r="D7" s="780"/>
      <c r="E7" s="780"/>
      <c r="F7" s="780"/>
      <c r="G7" s="780"/>
      <c r="H7" s="780"/>
      <c r="I7" s="780"/>
      <c r="J7" s="780"/>
      <c r="K7" s="780"/>
      <c r="L7" s="780"/>
      <c r="M7" s="780"/>
      <c r="N7" s="780"/>
      <c r="O7" s="259"/>
    </row>
    <row r="8" spans="1:15" x14ac:dyDescent="0.25">
      <c r="A8" s="779" t="s">
        <v>13</v>
      </c>
      <c r="B8" s="16"/>
      <c r="C8" s="780"/>
      <c r="D8" s="780"/>
      <c r="E8" s="780"/>
      <c r="F8" s="780"/>
      <c r="G8" s="780"/>
      <c r="H8" s="780"/>
      <c r="I8" s="780"/>
      <c r="J8" s="780"/>
      <c r="K8" s="780"/>
      <c r="L8" s="780"/>
      <c r="M8" s="780"/>
      <c r="N8" s="780"/>
      <c r="O8" s="259"/>
    </row>
    <row r="9" spans="1:15" x14ac:dyDescent="0.25">
      <c r="A9" s="786"/>
      <c r="B9" s="780"/>
      <c r="C9" s="780"/>
      <c r="D9" s="780"/>
      <c r="E9" s="780"/>
      <c r="F9" s="780"/>
      <c r="G9" s="780"/>
      <c r="H9" s="780"/>
      <c r="I9" s="780"/>
      <c r="J9" s="780"/>
      <c r="K9" s="780"/>
      <c r="L9" s="780"/>
      <c r="M9" s="780"/>
      <c r="N9" s="780"/>
      <c r="O9" s="259"/>
    </row>
    <row r="10" spans="1:15" x14ac:dyDescent="0.25">
      <c r="A10" s="787" t="s">
        <v>14</v>
      </c>
      <c r="B10" s="788" t="s">
        <v>19</v>
      </c>
      <c r="C10" s="788" t="s">
        <v>20</v>
      </c>
      <c r="D10" s="788" t="s">
        <v>21</v>
      </c>
      <c r="E10" s="788" t="s">
        <v>22</v>
      </c>
      <c r="F10" s="788" t="s">
        <v>23</v>
      </c>
      <c r="G10" s="788" t="s">
        <v>24</v>
      </c>
      <c r="H10" s="788" t="s">
        <v>25</v>
      </c>
      <c r="I10" s="788" t="s">
        <v>26</v>
      </c>
      <c r="J10" s="788" t="s">
        <v>27</v>
      </c>
      <c r="K10" s="788" t="s">
        <v>28</v>
      </c>
      <c r="L10" s="788" t="s">
        <v>29</v>
      </c>
      <c r="M10" s="788" t="s">
        <v>17</v>
      </c>
      <c r="N10" s="788" t="s">
        <v>18</v>
      </c>
      <c r="O10" s="259"/>
    </row>
    <row r="11" spans="1:15" x14ac:dyDescent="0.25">
      <c r="A11" s="789">
        <v>10</v>
      </c>
      <c r="B11" s="790" t="s">
        <v>331</v>
      </c>
      <c r="C11" s="791" t="s">
        <v>332</v>
      </c>
      <c r="D11" s="792">
        <v>3.3</v>
      </c>
      <c r="E11" s="793">
        <f>J11*K11*L11</f>
        <v>1.3969288083727863E-2</v>
      </c>
      <c r="F11" s="794" t="s">
        <v>141</v>
      </c>
      <c r="G11" s="794"/>
      <c r="H11" s="795"/>
      <c r="I11" s="796" t="s">
        <v>333</v>
      </c>
      <c r="J11" s="796">
        <f>PI()*(7.5*10^-3)^2</f>
        <v>1.7671458676442585E-4</v>
      </c>
      <c r="K11" s="797">
        <v>9.2999999999999992E-3</v>
      </c>
      <c r="L11" s="798">
        <v>8500</v>
      </c>
      <c r="M11" s="798">
        <v>1</v>
      </c>
      <c r="N11" s="792">
        <f>D11*E11</f>
        <v>4.6098650676301943E-2</v>
      </c>
      <c r="O11" s="259"/>
    </row>
    <row r="12" spans="1:15" x14ac:dyDescent="0.25">
      <c r="A12" s="799"/>
      <c r="B12" s="800"/>
      <c r="C12" s="800"/>
      <c r="D12" s="800"/>
      <c r="E12" s="800"/>
      <c r="F12" s="800"/>
      <c r="G12" s="800"/>
      <c r="H12" s="800"/>
      <c r="I12" s="800"/>
      <c r="J12" s="800"/>
      <c r="K12" s="800"/>
      <c r="L12" s="800"/>
      <c r="M12" s="801" t="s">
        <v>18</v>
      </c>
      <c r="N12" s="802">
        <f>N11</f>
        <v>4.6098650676301943E-2</v>
      </c>
      <c r="O12" s="259"/>
    </row>
    <row r="13" spans="1:15" x14ac:dyDescent="0.25">
      <c r="A13" s="786"/>
      <c r="B13" s="780"/>
      <c r="C13" s="780"/>
      <c r="D13" s="780"/>
      <c r="E13" s="780"/>
      <c r="F13" s="780"/>
      <c r="G13" s="780"/>
      <c r="H13" s="780"/>
      <c r="I13" s="780"/>
      <c r="J13" s="780"/>
      <c r="K13" s="780"/>
      <c r="L13" s="780"/>
      <c r="M13" s="780"/>
      <c r="N13" s="780"/>
      <c r="O13" s="259"/>
    </row>
    <row r="14" spans="1:15" x14ac:dyDescent="0.25">
      <c r="A14" s="787" t="s">
        <v>14</v>
      </c>
      <c r="B14" s="788" t="s">
        <v>31</v>
      </c>
      <c r="C14" s="788" t="s">
        <v>20</v>
      </c>
      <c r="D14" s="788" t="s">
        <v>21</v>
      </c>
      <c r="E14" s="788" t="s">
        <v>32</v>
      </c>
      <c r="F14" s="788" t="s">
        <v>17</v>
      </c>
      <c r="G14" s="788" t="s">
        <v>33</v>
      </c>
      <c r="H14" s="788" t="s">
        <v>34</v>
      </c>
      <c r="I14" s="788" t="s">
        <v>18</v>
      </c>
      <c r="J14" s="800"/>
      <c r="K14" s="800"/>
      <c r="L14" s="800"/>
      <c r="M14" s="800"/>
      <c r="N14" s="800"/>
      <c r="O14" s="259"/>
    </row>
    <row r="15" spans="1:15" x14ac:dyDescent="0.25">
      <c r="A15" s="803">
        <v>10</v>
      </c>
      <c r="B15" s="794" t="s">
        <v>39</v>
      </c>
      <c r="C15" s="794"/>
      <c r="D15" s="792">
        <v>1.3</v>
      </c>
      <c r="E15" s="794" t="s">
        <v>35</v>
      </c>
      <c r="F15" s="794">
        <v>1</v>
      </c>
      <c r="G15" s="794"/>
      <c r="H15" s="794"/>
      <c r="I15" s="792">
        <v>1.3</v>
      </c>
      <c r="J15" s="780"/>
      <c r="K15" s="780"/>
      <c r="L15" s="780"/>
      <c r="M15" s="780"/>
      <c r="N15" s="780"/>
      <c r="O15" s="259"/>
    </row>
    <row r="16" spans="1:15" x14ac:dyDescent="0.25">
      <c r="A16" s="803">
        <v>20</v>
      </c>
      <c r="B16" s="794" t="s">
        <v>334</v>
      </c>
      <c r="C16" s="794" t="s">
        <v>335</v>
      </c>
      <c r="D16" s="792">
        <v>0.04</v>
      </c>
      <c r="E16" s="794" t="s">
        <v>93</v>
      </c>
      <c r="F16" s="794">
        <v>1.25</v>
      </c>
      <c r="G16" s="794" t="s">
        <v>336</v>
      </c>
      <c r="H16" s="794">
        <v>0.5</v>
      </c>
      <c r="I16" s="792">
        <f>D16*F16*H16</f>
        <v>2.5000000000000001E-2</v>
      </c>
      <c r="J16" s="780"/>
      <c r="K16" s="780"/>
      <c r="L16" s="780"/>
      <c r="M16" s="780"/>
      <c r="N16" s="780"/>
      <c r="O16" s="259"/>
    </row>
    <row r="17" spans="1:15" x14ac:dyDescent="0.25">
      <c r="A17" s="799"/>
      <c r="B17" s="800"/>
      <c r="C17" s="800"/>
      <c r="D17" s="800"/>
      <c r="E17" s="800"/>
      <c r="F17" s="800"/>
      <c r="G17" s="800"/>
      <c r="H17" s="801" t="s">
        <v>18</v>
      </c>
      <c r="I17" s="804">
        <f>I15+I16</f>
        <v>1.325</v>
      </c>
      <c r="J17" s="800"/>
      <c r="K17" s="800"/>
      <c r="L17" s="800"/>
      <c r="M17" s="800"/>
      <c r="N17" s="800"/>
      <c r="O17" s="259"/>
    </row>
    <row r="18" spans="1:15" x14ac:dyDescent="0.25">
      <c r="A18" s="786"/>
      <c r="B18" s="780"/>
      <c r="C18" s="780"/>
      <c r="D18" s="780"/>
      <c r="E18" s="780"/>
      <c r="F18" s="780"/>
      <c r="G18" s="780"/>
      <c r="H18" s="783"/>
      <c r="I18" s="784"/>
      <c r="J18" s="780"/>
      <c r="K18" s="780"/>
      <c r="L18" s="780"/>
      <c r="M18" s="780"/>
      <c r="N18" s="780"/>
      <c r="O18" s="259"/>
    </row>
    <row r="19" spans="1:15" x14ac:dyDescent="0.25">
      <c r="A19" s="786"/>
      <c r="B19" s="780"/>
      <c r="C19" s="780"/>
      <c r="D19" s="780"/>
      <c r="E19" s="780"/>
      <c r="F19" s="780"/>
      <c r="G19" s="780"/>
      <c r="H19" s="780"/>
      <c r="I19" s="780"/>
      <c r="J19" s="780"/>
      <c r="K19" s="780"/>
      <c r="L19" s="780"/>
      <c r="M19" s="780"/>
      <c r="N19" s="780"/>
      <c r="O19" s="259"/>
    </row>
    <row r="20" spans="1:15" x14ac:dyDescent="0.25">
      <c r="A20" s="786"/>
      <c r="B20" s="780"/>
      <c r="C20" s="780"/>
      <c r="D20" s="780"/>
      <c r="E20" s="780"/>
      <c r="F20" s="780"/>
      <c r="G20" s="780"/>
      <c r="H20" s="780"/>
      <c r="I20" s="780"/>
      <c r="J20" s="780"/>
      <c r="K20" s="780"/>
      <c r="L20" s="780"/>
      <c r="M20" s="780"/>
      <c r="N20" s="780"/>
      <c r="O20" s="259"/>
    </row>
    <row r="21" spans="1:15" x14ac:dyDescent="0.25">
      <c r="A21" s="786"/>
      <c r="B21" s="780"/>
      <c r="C21" s="780"/>
      <c r="D21" s="780"/>
      <c r="E21" s="780"/>
      <c r="F21" s="780"/>
      <c r="G21" s="780"/>
      <c r="H21" s="780"/>
      <c r="I21" s="780"/>
      <c r="J21" s="780"/>
      <c r="K21" s="780"/>
      <c r="L21" s="780"/>
      <c r="M21" s="780"/>
      <c r="N21" s="780"/>
      <c r="O21" s="259"/>
    </row>
    <row r="22" spans="1:15" ht="15.75" thickBot="1" x14ac:dyDescent="0.3">
      <c r="A22" s="805"/>
      <c r="B22" s="806"/>
      <c r="C22" s="806"/>
      <c r="D22" s="806"/>
      <c r="E22" s="806"/>
      <c r="F22" s="806"/>
      <c r="G22" s="806"/>
      <c r="H22" s="806"/>
      <c r="I22" s="806"/>
      <c r="J22" s="806"/>
      <c r="K22" s="806"/>
      <c r="L22" s="806"/>
      <c r="M22" s="806"/>
      <c r="N22" s="806"/>
      <c r="O22" s="281"/>
    </row>
    <row r="23" spans="1:15" x14ac:dyDescent="0.25">
      <c r="A23" s="16"/>
      <c r="B23" s="807"/>
      <c r="C23" s="807"/>
      <c r="D23" s="807"/>
      <c r="E23" s="807"/>
      <c r="F23" s="807"/>
      <c r="G23" s="807"/>
      <c r="H23" s="807"/>
      <c r="I23" s="807"/>
      <c r="J23" s="807"/>
      <c r="K23" s="807"/>
      <c r="L23" s="807"/>
      <c r="M23" s="807"/>
      <c r="N23" s="807"/>
    </row>
    <row r="24" spans="1:15" x14ac:dyDescent="0.25">
      <c r="A24" s="16"/>
      <c r="B24" s="807"/>
      <c r="C24" s="807"/>
      <c r="D24" s="807"/>
      <c r="E24" s="807"/>
      <c r="F24" s="807"/>
      <c r="G24" s="807"/>
      <c r="H24" s="807"/>
      <c r="I24" s="807"/>
      <c r="J24" s="807"/>
      <c r="K24" s="807"/>
      <c r="L24" s="807"/>
      <c r="M24" s="807"/>
      <c r="N24" s="807"/>
    </row>
    <row r="25" spans="1:15" x14ac:dyDescent="0.25">
      <c r="A25" s="87"/>
      <c r="B25" s="807"/>
      <c r="C25" s="807"/>
      <c r="D25" s="807"/>
      <c r="E25" s="807"/>
      <c r="F25" s="807"/>
      <c r="G25" s="807"/>
      <c r="H25" s="807"/>
      <c r="I25" s="807"/>
      <c r="J25" s="807"/>
      <c r="K25" s="807"/>
      <c r="L25" s="807"/>
      <c r="M25" s="807"/>
      <c r="N25" s="807"/>
    </row>
    <row r="26" spans="1:15" x14ac:dyDescent="0.25">
      <c r="A26" s="18"/>
      <c r="B26" s="807"/>
      <c r="C26" s="807"/>
      <c r="D26" s="807"/>
      <c r="E26" s="807"/>
      <c r="F26" s="807"/>
      <c r="G26" s="807"/>
      <c r="H26" s="807"/>
      <c r="I26" s="807"/>
      <c r="J26" s="807"/>
      <c r="K26" s="807"/>
      <c r="L26" s="807"/>
      <c r="M26" s="807"/>
      <c r="N26" s="807"/>
    </row>
    <row r="27" spans="1:15" x14ac:dyDescent="0.25">
      <c r="A27" s="28"/>
      <c r="B27" s="807"/>
      <c r="C27" s="807"/>
      <c r="D27" s="807"/>
      <c r="E27" s="807"/>
      <c r="F27" s="807"/>
      <c r="G27" s="807"/>
      <c r="H27" s="807"/>
      <c r="I27" s="807"/>
      <c r="J27" s="807"/>
      <c r="K27" s="807"/>
      <c r="L27" s="807"/>
      <c r="M27" s="807"/>
      <c r="N27" s="807"/>
    </row>
    <row r="28" spans="1:15" x14ac:dyDescent="0.25">
      <c r="A28" s="16"/>
      <c r="B28" s="807"/>
      <c r="C28" s="807"/>
      <c r="D28" s="807"/>
      <c r="E28" s="807"/>
      <c r="F28" s="807"/>
      <c r="G28" s="807"/>
      <c r="H28" s="807"/>
      <c r="I28" s="807"/>
      <c r="J28" s="807"/>
      <c r="K28" s="807"/>
      <c r="L28" s="807"/>
      <c r="M28" s="807"/>
      <c r="N28" s="807"/>
    </row>
    <row r="29" spans="1:15" x14ac:dyDescent="0.25">
      <c r="A29" s="16"/>
      <c r="B29" s="807"/>
      <c r="C29" s="807"/>
      <c r="D29" s="807"/>
      <c r="E29" s="807"/>
      <c r="F29" s="807"/>
      <c r="G29" s="807"/>
      <c r="H29" s="807"/>
      <c r="I29" s="807"/>
      <c r="J29" s="807"/>
      <c r="K29" s="807"/>
      <c r="L29" s="807"/>
      <c r="M29" s="807"/>
      <c r="N29" s="807"/>
    </row>
    <row r="30" spans="1:15" x14ac:dyDescent="0.25">
      <c r="A30" s="807"/>
      <c r="B30" s="807"/>
      <c r="C30" s="807"/>
      <c r="D30" s="807"/>
      <c r="E30" s="807"/>
      <c r="F30" s="807"/>
      <c r="G30" s="807"/>
      <c r="H30" s="807"/>
      <c r="I30" s="807"/>
      <c r="J30" s="807"/>
      <c r="K30" s="807"/>
      <c r="L30" s="807"/>
      <c r="M30" s="807"/>
      <c r="N30" s="807"/>
    </row>
    <row r="31" spans="1:15" x14ac:dyDescent="0.25">
      <c r="A31" s="807"/>
      <c r="B31" s="807"/>
      <c r="C31" s="807"/>
      <c r="D31" s="807"/>
      <c r="E31" s="807"/>
      <c r="F31" s="807"/>
      <c r="G31" s="807"/>
      <c r="H31" s="807"/>
      <c r="I31" s="807"/>
      <c r="J31" s="807"/>
      <c r="K31" s="807"/>
      <c r="L31" s="807"/>
      <c r="M31" s="807"/>
      <c r="N31" s="807"/>
    </row>
    <row r="32" spans="1:15" x14ac:dyDescent="0.25">
      <c r="A32" s="807"/>
      <c r="B32" s="807"/>
      <c r="C32" s="807"/>
      <c r="D32" s="807"/>
      <c r="E32" s="807"/>
      <c r="F32" s="807"/>
      <c r="G32" s="807"/>
      <c r="H32" s="807"/>
      <c r="I32" s="807"/>
      <c r="J32" s="807"/>
      <c r="K32" s="807"/>
      <c r="L32" s="807"/>
      <c r="M32" s="807"/>
      <c r="N32" s="807"/>
    </row>
    <row r="33" spans="1:14" x14ac:dyDescent="0.25">
      <c r="A33" s="807"/>
      <c r="B33" s="807"/>
      <c r="C33" s="807"/>
      <c r="D33" s="807"/>
      <c r="E33" s="807"/>
      <c r="F33" s="807"/>
      <c r="G33" s="807"/>
      <c r="H33" s="807"/>
      <c r="I33" s="807"/>
      <c r="J33" s="807"/>
      <c r="K33" s="807"/>
      <c r="L33" s="807"/>
      <c r="M33" s="807"/>
      <c r="N33" s="807"/>
    </row>
    <row r="34" spans="1:14" x14ac:dyDescent="0.25">
      <c r="A34" s="807"/>
      <c r="B34" s="807"/>
      <c r="C34" s="807"/>
      <c r="D34" s="807"/>
      <c r="E34" s="807"/>
      <c r="F34" s="807"/>
      <c r="G34" s="807"/>
      <c r="H34" s="807"/>
      <c r="I34" s="807"/>
      <c r="J34" s="807"/>
      <c r="K34" s="807"/>
      <c r="L34" s="807"/>
      <c r="M34" s="807"/>
      <c r="N34" s="807"/>
    </row>
    <row r="35" spans="1:14" x14ac:dyDescent="0.25">
      <c r="A35" s="807"/>
      <c r="B35" s="807"/>
      <c r="C35" s="807"/>
      <c r="D35" s="807"/>
      <c r="E35" s="807"/>
      <c r="F35" s="807"/>
      <c r="G35" s="807"/>
      <c r="H35" s="807"/>
      <c r="I35" s="807"/>
      <c r="J35" s="807"/>
      <c r="K35" s="807"/>
      <c r="L35" s="807"/>
      <c r="M35" s="807"/>
      <c r="N35" s="807"/>
    </row>
    <row r="36" spans="1:14" x14ac:dyDescent="0.25">
      <c r="A36" s="807"/>
      <c r="B36" s="807"/>
      <c r="C36" s="807"/>
      <c r="D36" s="807"/>
      <c r="E36" s="807"/>
      <c r="F36" s="807"/>
      <c r="G36" s="807"/>
      <c r="H36" s="807"/>
      <c r="I36" s="807"/>
      <c r="J36" s="807"/>
      <c r="K36" s="807"/>
      <c r="L36" s="807"/>
      <c r="M36" s="807"/>
      <c r="N36" s="807"/>
    </row>
    <row r="37" spans="1:14" x14ac:dyDescent="0.25">
      <c r="A37" s="807"/>
      <c r="B37" s="807"/>
      <c r="C37" s="807"/>
      <c r="D37" s="807"/>
      <c r="E37" s="807"/>
      <c r="F37" s="807"/>
      <c r="G37" s="807"/>
      <c r="H37" s="807"/>
      <c r="I37" s="807"/>
      <c r="J37" s="807"/>
      <c r="K37" s="807"/>
      <c r="L37" s="807"/>
      <c r="M37" s="807"/>
      <c r="N37" s="807"/>
    </row>
    <row r="38" spans="1:14" x14ac:dyDescent="0.25">
      <c r="A38" s="807"/>
      <c r="B38" s="807"/>
      <c r="C38" s="807"/>
      <c r="D38" s="807"/>
      <c r="E38" s="807"/>
      <c r="F38" s="807"/>
      <c r="G38" s="807"/>
      <c r="H38" s="807"/>
      <c r="I38" s="807"/>
      <c r="J38" s="807"/>
      <c r="K38" s="807"/>
      <c r="L38" s="807"/>
      <c r="M38" s="807"/>
      <c r="N38" s="807"/>
    </row>
    <row r="39" spans="1:14" x14ac:dyDescent="0.25">
      <c r="A39" s="807"/>
      <c r="B39" s="807"/>
      <c r="C39" s="807"/>
      <c r="D39" s="807"/>
      <c r="E39" s="807"/>
      <c r="F39" s="807"/>
      <c r="G39" s="807"/>
      <c r="H39" s="807"/>
      <c r="I39" s="807"/>
      <c r="J39" s="807"/>
      <c r="K39" s="807"/>
      <c r="L39" s="807"/>
      <c r="M39" s="807"/>
      <c r="N39" s="807"/>
    </row>
    <row r="40" spans="1:14" x14ac:dyDescent="0.25">
      <c r="A40" s="807"/>
      <c r="B40" s="807"/>
      <c r="C40" s="807"/>
      <c r="D40" s="807"/>
      <c r="E40" s="807"/>
      <c r="F40" s="807"/>
      <c r="G40" s="807"/>
      <c r="H40" s="807"/>
      <c r="I40" s="807"/>
      <c r="J40" s="807"/>
      <c r="K40" s="807"/>
      <c r="L40" s="807"/>
      <c r="M40" s="807"/>
      <c r="N40" s="807"/>
    </row>
    <row r="41" spans="1:14" x14ac:dyDescent="0.25">
      <c r="A41" s="807"/>
      <c r="B41" s="807"/>
      <c r="C41" s="807"/>
      <c r="D41" s="807"/>
      <c r="E41" s="807"/>
      <c r="F41" s="807"/>
      <c r="G41" s="807"/>
      <c r="H41" s="807"/>
      <c r="I41" s="807"/>
      <c r="J41" s="807"/>
      <c r="K41" s="807"/>
      <c r="L41" s="807"/>
      <c r="M41" s="807"/>
      <c r="N41" s="807"/>
    </row>
    <row r="42" spans="1:14" x14ac:dyDescent="0.25">
      <c r="A42" s="807"/>
      <c r="B42" s="807"/>
      <c r="C42" s="807"/>
      <c r="D42" s="807"/>
      <c r="E42" s="807"/>
      <c r="F42" s="807"/>
      <c r="G42" s="807"/>
      <c r="H42" s="807"/>
      <c r="I42" s="807"/>
      <c r="J42" s="807"/>
      <c r="K42" s="807"/>
      <c r="L42" s="807"/>
      <c r="M42" s="807"/>
      <c r="N42" s="807"/>
    </row>
    <row r="43" spans="1:14" x14ac:dyDescent="0.25">
      <c r="A43" s="807"/>
      <c r="B43" s="807"/>
      <c r="C43" s="807"/>
      <c r="D43" s="807"/>
      <c r="E43" s="807"/>
      <c r="F43" s="807"/>
      <c r="G43" s="807"/>
      <c r="H43" s="807"/>
      <c r="I43" s="807"/>
      <c r="J43" s="807"/>
      <c r="K43" s="807"/>
      <c r="L43" s="807"/>
      <c r="M43" s="807"/>
      <c r="N43" s="807"/>
    </row>
    <row r="44" spans="1:14" x14ac:dyDescent="0.25">
      <c r="A44" s="807"/>
      <c r="B44" s="807"/>
      <c r="C44" s="807"/>
      <c r="D44" s="807"/>
      <c r="E44" s="807"/>
      <c r="F44" s="807"/>
      <c r="G44" s="807"/>
      <c r="H44" s="807"/>
      <c r="I44" s="807"/>
      <c r="J44" s="807"/>
      <c r="K44" s="807"/>
      <c r="L44" s="807"/>
      <c r="M44" s="807"/>
      <c r="N44" s="807"/>
    </row>
    <row r="45" spans="1:14" x14ac:dyDescent="0.25">
      <c r="A45" s="807"/>
      <c r="B45" s="807"/>
      <c r="C45" s="807"/>
      <c r="D45" s="807"/>
      <c r="E45" s="807"/>
      <c r="F45" s="807"/>
      <c r="G45" s="807"/>
      <c r="H45" s="807"/>
      <c r="I45" s="807"/>
      <c r="J45" s="807"/>
      <c r="K45" s="807"/>
      <c r="L45" s="807"/>
      <c r="M45" s="807"/>
      <c r="N45" s="807"/>
    </row>
    <row r="46" spans="1:14" x14ac:dyDescent="0.25">
      <c r="A46" s="807"/>
      <c r="B46" s="807"/>
      <c r="C46" s="807"/>
      <c r="D46" s="807"/>
      <c r="E46" s="807"/>
      <c r="F46" s="807"/>
      <c r="G46" s="807"/>
      <c r="H46" s="807"/>
      <c r="I46" s="807"/>
      <c r="J46" s="807"/>
      <c r="K46" s="807"/>
      <c r="L46" s="807"/>
      <c r="M46" s="807"/>
      <c r="N46" s="807"/>
    </row>
    <row r="47" spans="1:14" x14ac:dyDescent="0.25">
      <c r="A47" s="807"/>
      <c r="B47" s="807"/>
      <c r="C47" s="807"/>
      <c r="D47" s="807"/>
      <c r="E47" s="807"/>
      <c r="F47" s="807"/>
      <c r="G47" s="807"/>
      <c r="H47" s="807"/>
      <c r="I47" s="807"/>
      <c r="J47" s="807"/>
      <c r="K47" s="807"/>
      <c r="L47" s="807"/>
      <c r="M47" s="807"/>
      <c r="N47" s="807"/>
    </row>
    <row r="48" spans="1:14" x14ac:dyDescent="0.25">
      <c r="A48" s="807"/>
      <c r="B48" s="807"/>
      <c r="C48" s="807"/>
      <c r="D48" s="807"/>
      <c r="E48" s="807"/>
      <c r="F48" s="807"/>
      <c r="G48" s="807"/>
      <c r="H48" s="807"/>
      <c r="I48" s="807"/>
      <c r="J48" s="807"/>
      <c r="K48" s="807"/>
      <c r="L48" s="807"/>
      <c r="M48" s="807"/>
      <c r="N48" s="807"/>
    </row>
    <row r="49" spans="1:14" x14ac:dyDescent="0.25">
      <c r="A49" s="807"/>
      <c r="B49" s="807"/>
      <c r="C49" s="807"/>
      <c r="D49" s="807"/>
      <c r="E49" s="807"/>
      <c r="F49" s="807"/>
      <c r="G49" s="807"/>
      <c r="H49" s="807"/>
      <c r="I49" s="807"/>
      <c r="J49" s="807"/>
      <c r="K49" s="807"/>
      <c r="L49" s="807"/>
      <c r="M49" s="807"/>
      <c r="N49" s="807"/>
    </row>
    <row r="50" spans="1:14" x14ac:dyDescent="0.25">
      <c r="A50" s="807"/>
      <c r="B50" s="807"/>
      <c r="C50" s="807"/>
      <c r="D50" s="807"/>
      <c r="E50" s="807"/>
      <c r="F50" s="807"/>
      <c r="G50" s="807"/>
      <c r="H50" s="807"/>
      <c r="I50" s="807"/>
      <c r="J50" s="807"/>
      <c r="K50" s="807"/>
      <c r="L50" s="807"/>
      <c r="M50" s="807"/>
      <c r="N50" s="807"/>
    </row>
    <row r="51" spans="1:14" x14ac:dyDescent="0.25">
      <c r="A51" s="807"/>
      <c r="B51" s="807"/>
      <c r="C51" s="807"/>
      <c r="D51" s="807"/>
      <c r="E51" s="807"/>
      <c r="F51" s="807"/>
      <c r="G51" s="807"/>
      <c r="H51" s="807"/>
      <c r="I51" s="807"/>
      <c r="J51" s="807"/>
      <c r="K51" s="807"/>
      <c r="L51" s="807"/>
      <c r="M51" s="807"/>
      <c r="N51" s="807"/>
    </row>
    <row r="52" spans="1:14" x14ac:dyDescent="0.25">
      <c r="A52" s="807"/>
      <c r="B52" s="807"/>
      <c r="C52" s="807"/>
      <c r="D52" s="807"/>
      <c r="E52" s="807"/>
      <c r="F52" s="807"/>
      <c r="G52" s="807"/>
      <c r="H52" s="807"/>
      <c r="I52" s="807"/>
      <c r="J52" s="807"/>
      <c r="K52" s="807"/>
      <c r="L52" s="807"/>
      <c r="M52" s="807"/>
      <c r="N52" s="807"/>
    </row>
    <row r="53" spans="1:14" x14ac:dyDescent="0.25">
      <c r="A53" s="807"/>
      <c r="B53" s="807"/>
      <c r="C53" s="807"/>
      <c r="D53" s="807"/>
      <c r="E53" s="807"/>
      <c r="F53" s="807"/>
      <c r="G53" s="807"/>
      <c r="H53" s="807"/>
      <c r="I53" s="807"/>
      <c r="J53" s="807"/>
      <c r="K53" s="807"/>
      <c r="L53" s="807"/>
      <c r="M53" s="807"/>
      <c r="N53" s="807"/>
    </row>
    <row r="54" spans="1:14" x14ac:dyDescent="0.25">
      <c r="A54" s="807"/>
      <c r="B54" s="807"/>
      <c r="C54" s="807"/>
      <c r="D54" s="807"/>
      <c r="E54" s="807"/>
      <c r="F54" s="807"/>
      <c r="G54" s="807"/>
      <c r="H54" s="807"/>
      <c r="I54" s="807"/>
      <c r="J54" s="807"/>
      <c r="K54" s="807"/>
      <c r="L54" s="807"/>
      <c r="M54" s="807"/>
      <c r="N54" s="807"/>
    </row>
    <row r="55" spans="1:14" x14ac:dyDescent="0.25">
      <c r="A55" s="807"/>
      <c r="B55" s="807"/>
      <c r="C55" s="807"/>
      <c r="D55" s="807"/>
      <c r="E55" s="807"/>
      <c r="F55" s="807"/>
      <c r="G55" s="807"/>
      <c r="H55" s="807"/>
      <c r="I55" s="807"/>
      <c r="J55" s="807"/>
      <c r="K55" s="807"/>
      <c r="L55" s="807"/>
      <c r="M55" s="807"/>
      <c r="N55" s="807"/>
    </row>
    <row r="56" spans="1:14" x14ac:dyDescent="0.25">
      <c r="A56" s="807"/>
      <c r="B56" s="807"/>
      <c r="C56" s="807"/>
      <c r="D56" s="807"/>
      <c r="E56" s="807"/>
      <c r="F56" s="807"/>
      <c r="G56" s="807"/>
      <c r="H56" s="807"/>
      <c r="I56" s="807"/>
      <c r="J56" s="807"/>
      <c r="K56" s="807"/>
      <c r="L56" s="807"/>
      <c r="M56" s="807"/>
      <c r="N56" s="807"/>
    </row>
    <row r="57" spans="1:14" x14ac:dyDescent="0.25">
      <c r="A57" s="807"/>
      <c r="B57" s="807"/>
      <c r="C57" s="807"/>
      <c r="D57" s="807"/>
      <c r="E57" s="807"/>
      <c r="F57" s="807"/>
      <c r="G57" s="807"/>
      <c r="H57" s="807"/>
      <c r="I57" s="807"/>
      <c r="J57" s="807"/>
      <c r="K57" s="807"/>
      <c r="L57" s="807"/>
      <c r="M57" s="807"/>
      <c r="N57" s="807"/>
    </row>
    <row r="58" spans="1:14" x14ac:dyDescent="0.25">
      <c r="A58" s="807"/>
      <c r="B58" s="807"/>
      <c r="C58" s="807"/>
      <c r="D58" s="807"/>
      <c r="E58" s="807"/>
      <c r="F58" s="807"/>
      <c r="G58" s="807"/>
      <c r="H58" s="807"/>
      <c r="I58" s="807"/>
      <c r="J58" s="807"/>
      <c r="K58" s="807"/>
      <c r="L58" s="807"/>
      <c r="M58" s="807"/>
      <c r="N58" s="807"/>
    </row>
    <row r="59" spans="1:14" x14ac:dyDescent="0.25">
      <c r="A59" s="807"/>
      <c r="B59" s="807"/>
      <c r="C59" s="807"/>
      <c r="D59" s="807"/>
      <c r="E59" s="807"/>
      <c r="F59" s="807"/>
      <c r="G59" s="807"/>
      <c r="H59" s="807"/>
      <c r="I59" s="807"/>
      <c r="J59" s="807"/>
      <c r="K59" s="807"/>
      <c r="L59" s="807"/>
      <c r="M59" s="807"/>
      <c r="N59" s="807"/>
    </row>
    <row r="60" spans="1:14" x14ac:dyDescent="0.25">
      <c r="A60" s="807"/>
      <c r="B60" s="807"/>
      <c r="C60" s="807"/>
      <c r="D60" s="807"/>
      <c r="E60" s="807"/>
      <c r="F60" s="807"/>
      <c r="G60" s="807"/>
      <c r="H60" s="807"/>
      <c r="I60" s="807"/>
      <c r="J60" s="807"/>
      <c r="K60" s="807"/>
      <c r="L60" s="807"/>
      <c r="M60" s="807"/>
      <c r="N60" s="807"/>
    </row>
    <row r="61" spans="1:14" x14ac:dyDescent="0.25">
      <c r="A61" s="807"/>
      <c r="B61" s="807"/>
      <c r="C61" s="807"/>
      <c r="D61" s="807"/>
      <c r="E61" s="807"/>
      <c r="F61" s="807"/>
      <c r="G61" s="807"/>
      <c r="H61" s="807"/>
      <c r="I61" s="807"/>
      <c r="J61" s="807"/>
      <c r="K61" s="807"/>
      <c r="L61" s="807"/>
      <c r="M61" s="807"/>
      <c r="N61" s="807"/>
    </row>
    <row r="62" spans="1:14" x14ac:dyDescent="0.25">
      <c r="A62" s="807"/>
      <c r="B62" s="807"/>
      <c r="C62" s="807"/>
      <c r="D62" s="807"/>
      <c r="E62" s="807"/>
      <c r="F62" s="807"/>
      <c r="G62" s="807"/>
      <c r="H62" s="807"/>
      <c r="I62" s="807"/>
      <c r="J62" s="807"/>
      <c r="K62" s="807"/>
      <c r="L62" s="807"/>
      <c r="M62" s="807"/>
      <c r="N62" s="807"/>
    </row>
    <row r="63" spans="1:14" x14ac:dyDescent="0.25">
      <c r="A63" s="807"/>
      <c r="B63" s="807"/>
      <c r="C63" s="807"/>
      <c r="D63" s="807"/>
      <c r="E63" s="807"/>
      <c r="F63" s="807"/>
      <c r="G63" s="807"/>
      <c r="H63" s="807"/>
      <c r="I63" s="807"/>
      <c r="J63" s="807"/>
      <c r="K63" s="807"/>
      <c r="L63" s="807"/>
      <c r="M63" s="807"/>
      <c r="N63" s="807"/>
    </row>
    <row r="64" spans="1:14" x14ac:dyDescent="0.25">
      <c r="A64" s="807"/>
      <c r="B64" s="807"/>
      <c r="C64" s="807"/>
      <c r="D64" s="807"/>
      <c r="E64" s="807"/>
      <c r="F64" s="807"/>
      <c r="G64" s="807"/>
      <c r="H64" s="807"/>
      <c r="I64" s="807"/>
      <c r="J64" s="807"/>
      <c r="K64" s="807"/>
      <c r="L64" s="807"/>
      <c r="M64" s="807"/>
      <c r="N64" s="807"/>
    </row>
    <row r="65" spans="1:14" x14ac:dyDescent="0.25">
      <c r="A65" s="807"/>
      <c r="B65" s="807"/>
      <c r="C65" s="807"/>
      <c r="D65" s="807"/>
      <c r="E65" s="807"/>
      <c r="F65" s="807"/>
      <c r="G65" s="807"/>
      <c r="H65" s="807"/>
      <c r="I65" s="807"/>
      <c r="J65" s="807"/>
      <c r="K65" s="807"/>
      <c r="L65" s="807"/>
      <c r="M65" s="807"/>
      <c r="N65" s="807"/>
    </row>
    <row r="66" spans="1:14" x14ac:dyDescent="0.25">
      <c r="A66" s="807"/>
      <c r="B66" s="807"/>
      <c r="C66" s="807"/>
      <c r="D66" s="807"/>
      <c r="E66" s="807"/>
      <c r="F66" s="807"/>
      <c r="G66" s="807"/>
      <c r="H66" s="807"/>
      <c r="I66" s="807"/>
      <c r="J66" s="807"/>
      <c r="K66" s="807"/>
      <c r="L66" s="807"/>
      <c r="M66" s="807"/>
      <c r="N66" s="807"/>
    </row>
    <row r="67" spans="1:14" x14ac:dyDescent="0.25">
      <c r="A67" s="807"/>
      <c r="B67" s="807"/>
      <c r="C67" s="807"/>
      <c r="D67" s="807"/>
      <c r="E67" s="807"/>
      <c r="F67" s="807"/>
      <c r="G67" s="807"/>
      <c r="H67" s="807"/>
      <c r="I67" s="807"/>
      <c r="J67" s="807"/>
      <c r="K67" s="807"/>
      <c r="L67" s="807"/>
      <c r="M67" s="807"/>
      <c r="N67" s="807"/>
    </row>
    <row r="68" spans="1:14" x14ac:dyDescent="0.25">
      <c r="A68" s="807"/>
      <c r="B68" s="807"/>
      <c r="C68" s="807"/>
      <c r="D68" s="807"/>
      <c r="E68" s="807"/>
      <c r="F68" s="807"/>
      <c r="G68" s="807"/>
      <c r="H68" s="807"/>
      <c r="I68" s="807"/>
      <c r="J68" s="807"/>
      <c r="K68" s="807"/>
      <c r="L68" s="807"/>
      <c r="M68" s="807"/>
      <c r="N68" s="807"/>
    </row>
    <row r="69" spans="1:14" x14ac:dyDescent="0.25">
      <c r="A69" s="807"/>
      <c r="B69" s="807"/>
      <c r="C69" s="807"/>
      <c r="D69" s="807"/>
      <c r="E69" s="807"/>
      <c r="F69" s="807"/>
      <c r="G69" s="807"/>
      <c r="H69" s="807"/>
      <c r="I69" s="807"/>
      <c r="J69" s="807"/>
      <c r="K69" s="807"/>
      <c r="L69" s="807"/>
      <c r="M69" s="807"/>
      <c r="N69" s="807"/>
    </row>
    <row r="70" spans="1:14" x14ac:dyDescent="0.25">
      <c r="A70" s="807"/>
      <c r="B70" s="807"/>
      <c r="C70" s="807"/>
      <c r="D70" s="807"/>
      <c r="E70" s="807"/>
      <c r="F70" s="807"/>
      <c r="G70" s="807"/>
      <c r="H70" s="807"/>
      <c r="I70" s="807"/>
      <c r="J70" s="807"/>
      <c r="K70" s="807"/>
      <c r="L70" s="807"/>
      <c r="M70" s="807"/>
      <c r="N70" s="807"/>
    </row>
    <row r="71" spans="1:14" x14ac:dyDescent="0.25">
      <c r="A71" s="807"/>
      <c r="B71" s="807"/>
      <c r="C71" s="807"/>
      <c r="D71" s="807"/>
      <c r="E71" s="807"/>
      <c r="F71" s="807"/>
      <c r="G71" s="807"/>
      <c r="H71" s="807"/>
      <c r="I71" s="807"/>
      <c r="J71" s="807"/>
      <c r="K71" s="807"/>
      <c r="L71" s="807"/>
      <c r="M71" s="807"/>
      <c r="N71" s="807"/>
    </row>
    <row r="72" spans="1:14" x14ac:dyDescent="0.25">
      <c r="A72" s="807"/>
      <c r="B72" s="807"/>
      <c r="C72" s="807"/>
      <c r="D72" s="807"/>
      <c r="E72" s="807"/>
      <c r="F72" s="807"/>
      <c r="G72" s="807"/>
      <c r="H72" s="807"/>
      <c r="I72" s="807"/>
      <c r="J72" s="807"/>
      <c r="K72" s="807"/>
      <c r="L72" s="807"/>
      <c r="M72" s="807"/>
      <c r="N72" s="807"/>
    </row>
    <row r="73" spans="1:14" x14ac:dyDescent="0.25">
      <c r="A73" s="807"/>
      <c r="B73" s="807"/>
      <c r="C73" s="807"/>
      <c r="D73" s="807"/>
      <c r="E73" s="807"/>
      <c r="F73" s="807"/>
      <c r="G73" s="807"/>
      <c r="H73" s="807"/>
      <c r="I73" s="807"/>
      <c r="J73" s="807"/>
      <c r="K73" s="807"/>
      <c r="L73" s="807"/>
      <c r="M73" s="807"/>
      <c r="N73" s="807"/>
    </row>
    <row r="74" spans="1:14" x14ac:dyDescent="0.25">
      <c r="A74" s="807"/>
      <c r="B74" s="807"/>
      <c r="C74" s="807"/>
      <c r="D74" s="807"/>
      <c r="E74" s="807"/>
      <c r="F74" s="807"/>
      <c r="G74" s="807"/>
      <c r="H74" s="807"/>
      <c r="I74" s="807"/>
      <c r="J74" s="807"/>
      <c r="K74" s="807"/>
      <c r="L74" s="807"/>
      <c r="M74" s="807"/>
      <c r="N74" s="807"/>
    </row>
    <row r="75" spans="1:14" x14ac:dyDescent="0.25">
      <c r="A75" s="807"/>
      <c r="B75" s="807"/>
      <c r="C75" s="807"/>
      <c r="D75" s="807"/>
      <c r="E75" s="807"/>
      <c r="F75" s="807"/>
      <c r="G75" s="807"/>
      <c r="H75" s="807"/>
      <c r="I75" s="807"/>
      <c r="J75" s="807"/>
      <c r="K75" s="807"/>
      <c r="L75" s="807"/>
      <c r="M75" s="807"/>
      <c r="N75" s="807"/>
    </row>
    <row r="76" spans="1:14" x14ac:dyDescent="0.25">
      <c r="A76" s="807"/>
      <c r="B76" s="807"/>
      <c r="C76" s="807"/>
      <c r="D76" s="807"/>
      <c r="E76" s="807"/>
      <c r="F76" s="807"/>
      <c r="G76" s="807"/>
      <c r="H76" s="807"/>
      <c r="I76" s="807"/>
      <c r="J76" s="807"/>
      <c r="K76" s="807"/>
      <c r="L76" s="807"/>
      <c r="M76" s="807"/>
      <c r="N76" s="807"/>
    </row>
    <row r="77" spans="1:14" x14ac:dyDescent="0.25">
      <c r="A77" s="807"/>
      <c r="B77" s="807"/>
      <c r="C77" s="807"/>
      <c r="D77" s="807"/>
      <c r="E77" s="807"/>
      <c r="F77" s="807"/>
      <c r="G77" s="807"/>
      <c r="H77" s="807"/>
      <c r="I77" s="807"/>
      <c r="J77" s="807"/>
      <c r="K77" s="807"/>
      <c r="L77" s="807"/>
      <c r="M77" s="807"/>
      <c r="N77" s="807"/>
    </row>
    <row r="78" spans="1:14" x14ac:dyDescent="0.25">
      <c r="A78" s="807"/>
      <c r="B78" s="807"/>
      <c r="C78" s="807"/>
      <c r="D78" s="807"/>
      <c r="E78" s="807"/>
      <c r="F78" s="807"/>
      <c r="G78" s="807"/>
      <c r="H78" s="807"/>
      <c r="I78" s="807"/>
      <c r="J78" s="807"/>
      <c r="K78" s="807"/>
      <c r="L78" s="807"/>
      <c r="M78" s="807"/>
      <c r="N78" s="807"/>
    </row>
    <row r="79" spans="1:14" x14ac:dyDescent="0.25">
      <c r="A79" s="807"/>
      <c r="B79" s="807"/>
      <c r="C79" s="807"/>
      <c r="D79" s="807"/>
      <c r="E79" s="807"/>
      <c r="F79" s="807"/>
      <c r="G79" s="807"/>
      <c r="H79" s="807"/>
      <c r="I79" s="807"/>
      <c r="J79" s="807"/>
      <c r="K79" s="807"/>
      <c r="L79" s="807"/>
      <c r="M79" s="807"/>
      <c r="N79" s="807"/>
    </row>
    <row r="80" spans="1:14" x14ac:dyDescent="0.25">
      <c r="A80" s="807"/>
      <c r="B80" s="807"/>
      <c r="C80" s="807"/>
      <c r="D80" s="807"/>
      <c r="E80" s="807"/>
      <c r="F80" s="807"/>
      <c r="G80" s="807"/>
      <c r="H80" s="807"/>
      <c r="I80" s="807"/>
      <c r="J80" s="807"/>
      <c r="K80" s="807"/>
      <c r="L80" s="807"/>
      <c r="M80" s="807"/>
      <c r="N80" s="807"/>
    </row>
    <row r="81" spans="1:14" x14ac:dyDescent="0.25">
      <c r="A81" s="807"/>
      <c r="B81" s="807"/>
      <c r="C81" s="807"/>
      <c r="D81" s="807"/>
      <c r="E81" s="807"/>
      <c r="F81" s="807"/>
      <c r="G81" s="807"/>
      <c r="H81" s="807"/>
      <c r="I81" s="807"/>
      <c r="J81" s="807"/>
      <c r="K81" s="807"/>
      <c r="L81" s="807"/>
      <c r="M81" s="807"/>
      <c r="N81" s="807"/>
    </row>
    <row r="82" spans="1:14" x14ac:dyDescent="0.25">
      <c r="A82" s="807"/>
      <c r="B82" s="807"/>
      <c r="C82" s="807"/>
      <c r="D82" s="807"/>
      <c r="E82" s="807"/>
      <c r="F82" s="807"/>
      <c r="G82" s="807"/>
      <c r="H82" s="807"/>
      <c r="I82" s="807"/>
      <c r="J82" s="807"/>
      <c r="K82" s="807"/>
      <c r="L82" s="807"/>
      <c r="M82" s="807"/>
      <c r="N82" s="807"/>
    </row>
    <row r="83" spans="1:14" x14ac:dyDescent="0.25">
      <c r="A83" s="807"/>
      <c r="B83" s="807"/>
      <c r="C83" s="807"/>
      <c r="D83" s="807"/>
      <c r="E83" s="807"/>
      <c r="F83" s="807"/>
      <c r="G83" s="807"/>
      <c r="H83" s="807"/>
      <c r="I83" s="807"/>
      <c r="J83" s="807"/>
      <c r="K83" s="807"/>
      <c r="L83" s="807"/>
      <c r="M83" s="807"/>
      <c r="N83" s="807"/>
    </row>
    <row r="84" spans="1:14" x14ac:dyDescent="0.25">
      <c r="A84" s="807"/>
      <c r="B84" s="807"/>
      <c r="C84" s="807"/>
      <c r="D84" s="807"/>
      <c r="E84" s="807"/>
      <c r="F84" s="807"/>
      <c r="G84" s="807"/>
      <c r="H84" s="807"/>
      <c r="I84" s="807"/>
      <c r="J84" s="807"/>
      <c r="K84" s="807"/>
      <c r="L84" s="807"/>
      <c r="M84" s="807"/>
      <c r="N84" s="807"/>
    </row>
    <row r="85" spans="1:14" x14ac:dyDescent="0.25">
      <c r="A85" s="807"/>
      <c r="B85" s="807"/>
      <c r="C85" s="807"/>
      <c r="D85" s="807"/>
      <c r="E85" s="807"/>
      <c r="F85" s="807"/>
      <c r="G85" s="807"/>
      <c r="H85" s="807"/>
      <c r="I85" s="807"/>
      <c r="J85" s="807"/>
      <c r="K85" s="807"/>
      <c r="L85" s="807"/>
      <c r="M85" s="807"/>
      <c r="N85" s="807"/>
    </row>
    <row r="86" spans="1:14" x14ac:dyDescent="0.25">
      <c r="A86" s="807"/>
      <c r="B86" s="807"/>
      <c r="C86" s="807"/>
      <c r="D86" s="807"/>
      <c r="E86" s="807"/>
      <c r="F86" s="807"/>
      <c r="G86" s="807"/>
      <c r="H86" s="807"/>
      <c r="I86" s="807"/>
      <c r="J86" s="807"/>
      <c r="K86" s="807"/>
      <c r="L86" s="807"/>
      <c r="M86" s="807"/>
      <c r="N86" s="807"/>
    </row>
    <row r="87" spans="1:14" x14ac:dyDescent="0.25">
      <c r="A87" s="807"/>
      <c r="B87" s="807"/>
      <c r="C87" s="807"/>
      <c r="D87" s="807"/>
      <c r="E87" s="807"/>
      <c r="F87" s="807"/>
      <c r="G87" s="807"/>
      <c r="H87" s="807"/>
      <c r="I87" s="807"/>
      <c r="J87" s="807"/>
      <c r="K87" s="807"/>
      <c r="L87" s="807"/>
      <c r="M87" s="807"/>
      <c r="N87" s="807"/>
    </row>
    <row r="88" spans="1:14" x14ac:dyDescent="0.25">
      <c r="A88" s="807"/>
      <c r="B88" s="807"/>
      <c r="C88" s="807"/>
      <c r="D88" s="807"/>
      <c r="E88" s="807"/>
      <c r="F88" s="807"/>
      <c r="G88" s="807"/>
      <c r="H88" s="807"/>
      <c r="I88" s="807"/>
      <c r="J88" s="807"/>
      <c r="K88" s="807"/>
      <c r="L88" s="807"/>
      <c r="M88" s="807"/>
      <c r="N88" s="807"/>
    </row>
    <row r="89" spans="1:14" x14ac:dyDescent="0.25">
      <c r="A89" s="807"/>
      <c r="B89" s="807"/>
      <c r="C89" s="807"/>
      <c r="D89" s="807"/>
      <c r="E89" s="807"/>
      <c r="F89" s="807"/>
      <c r="G89" s="807"/>
      <c r="H89" s="807"/>
      <c r="I89" s="807"/>
      <c r="J89" s="807"/>
      <c r="K89" s="807"/>
      <c r="L89" s="807"/>
      <c r="M89" s="807"/>
      <c r="N89" s="807"/>
    </row>
    <row r="90" spans="1:14" x14ac:dyDescent="0.25">
      <c r="A90" s="807"/>
      <c r="B90" s="807"/>
      <c r="C90" s="807"/>
      <c r="D90" s="807"/>
      <c r="E90" s="807"/>
      <c r="F90" s="807"/>
      <c r="G90" s="807"/>
      <c r="H90" s="807"/>
      <c r="I90" s="807"/>
      <c r="J90" s="807"/>
      <c r="K90" s="807"/>
      <c r="L90" s="807"/>
      <c r="M90" s="807"/>
      <c r="N90" s="807"/>
    </row>
    <row r="91" spans="1:14" x14ac:dyDescent="0.25">
      <c r="A91" s="807"/>
      <c r="B91" s="807"/>
      <c r="C91" s="807"/>
      <c r="D91" s="807"/>
      <c r="E91" s="807"/>
      <c r="F91" s="807"/>
      <c r="G91" s="807"/>
      <c r="H91" s="807"/>
      <c r="I91" s="807"/>
      <c r="J91" s="807"/>
      <c r="K91" s="807"/>
      <c r="L91" s="807"/>
      <c r="M91" s="807"/>
      <c r="N91" s="807"/>
    </row>
    <row r="92" spans="1:14" x14ac:dyDescent="0.25">
      <c r="A92" s="807"/>
      <c r="B92" s="807"/>
      <c r="C92" s="807"/>
      <c r="D92" s="807"/>
      <c r="E92" s="807"/>
      <c r="F92" s="807"/>
      <c r="G92" s="807"/>
      <c r="H92" s="807"/>
      <c r="I92" s="807"/>
      <c r="J92" s="807"/>
      <c r="K92" s="807"/>
      <c r="L92" s="807"/>
      <c r="M92" s="807"/>
      <c r="N92" s="807"/>
    </row>
    <row r="93" spans="1:14" x14ac:dyDescent="0.25">
      <c r="A93" s="807"/>
      <c r="B93" s="807"/>
      <c r="C93" s="807"/>
      <c r="D93" s="807"/>
      <c r="E93" s="807"/>
      <c r="F93" s="807"/>
      <c r="G93" s="807"/>
      <c r="H93" s="807"/>
      <c r="I93" s="807"/>
      <c r="J93" s="807"/>
      <c r="K93" s="807"/>
      <c r="L93" s="807"/>
      <c r="M93" s="807"/>
      <c r="N93" s="807"/>
    </row>
    <row r="94" spans="1:14" x14ac:dyDescent="0.25">
      <c r="A94" s="807"/>
      <c r="B94" s="807"/>
      <c r="C94" s="807"/>
      <c r="D94" s="807"/>
      <c r="E94" s="807"/>
      <c r="F94" s="807"/>
      <c r="G94" s="807"/>
      <c r="H94" s="807"/>
      <c r="I94" s="807"/>
      <c r="J94" s="807"/>
      <c r="K94" s="807"/>
      <c r="L94" s="807"/>
      <c r="M94" s="807"/>
      <c r="N94" s="807"/>
    </row>
    <row r="95" spans="1:14" x14ac:dyDescent="0.25">
      <c r="A95" s="807"/>
      <c r="B95" s="807"/>
      <c r="C95" s="807"/>
      <c r="D95" s="807"/>
      <c r="E95" s="807"/>
      <c r="F95" s="807"/>
      <c r="G95" s="807"/>
      <c r="H95" s="807"/>
      <c r="I95" s="807"/>
      <c r="J95" s="807"/>
      <c r="K95" s="807"/>
      <c r="L95" s="807"/>
      <c r="M95" s="807"/>
      <c r="N95" s="807"/>
    </row>
    <row r="96" spans="1:14" x14ac:dyDescent="0.25">
      <c r="A96" s="807"/>
      <c r="B96" s="807"/>
      <c r="C96" s="807"/>
      <c r="D96" s="807"/>
      <c r="E96" s="807"/>
      <c r="F96" s="807"/>
      <c r="G96" s="807"/>
      <c r="H96" s="807"/>
      <c r="I96" s="807"/>
      <c r="J96" s="807"/>
      <c r="K96" s="807"/>
      <c r="L96" s="807"/>
      <c r="M96" s="807"/>
      <c r="N96" s="807"/>
    </row>
    <row r="97" spans="1:14" x14ac:dyDescent="0.25">
      <c r="A97" s="807"/>
      <c r="B97" s="807"/>
      <c r="C97" s="807"/>
      <c r="D97" s="807"/>
      <c r="E97" s="807"/>
      <c r="F97" s="807"/>
      <c r="G97" s="807"/>
      <c r="H97" s="807"/>
      <c r="I97" s="807"/>
      <c r="J97" s="807"/>
      <c r="K97" s="807"/>
      <c r="L97" s="807"/>
      <c r="M97" s="807"/>
      <c r="N97" s="807"/>
    </row>
    <row r="98" spans="1:14" x14ac:dyDescent="0.25">
      <c r="A98" s="807"/>
      <c r="B98" s="807"/>
      <c r="C98" s="807"/>
      <c r="D98" s="807"/>
      <c r="E98" s="807"/>
      <c r="F98" s="807"/>
      <c r="G98" s="807"/>
      <c r="H98" s="807"/>
      <c r="I98" s="807"/>
      <c r="J98" s="807"/>
      <c r="K98" s="807"/>
      <c r="L98" s="807"/>
      <c r="M98" s="807"/>
      <c r="N98" s="807"/>
    </row>
    <row r="99" spans="1:14" x14ac:dyDescent="0.25">
      <c r="A99" s="807"/>
      <c r="B99" s="807"/>
      <c r="C99" s="807"/>
      <c r="D99" s="807"/>
      <c r="E99" s="807"/>
      <c r="F99" s="807"/>
      <c r="G99" s="807"/>
      <c r="H99" s="807"/>
      <c r="I99" s="807"/>
      <c r="J99" s="807"/>
      <c r="K99" s="807"/>
      <c r="L99" s="807"/>
      <c r="M99" s="807"/>
      <c r="N99" s="807"/>
    </row>
    <row r="100" spans="1:14" x14ac:dyDescent="0.25">
      <c r="A100" s="807"/>
      <c r="B100" s="807"/>
      <c r="C100" s="807"/>
      <c r="D100" s="807"/>
      <c r="E100" s="807"/>
      <c r="F100" s="807"/>
      <c r="G100" s="807"/>
      <c r="H100" s="807"/>
      <c r="I100" s="807"/>
      <c r="J100" s="807"/>
      <c r="K100" s="807"/>
      <c r="L100" s="807"/>
      <c r="M100" s="807"/>
      <c r="N100" s="807"/>
    </row>
    <row r="101" spans="1:14" x14ac:dyDescent="0.25">
      <c r="A101" s="807"/>
      <c r="B101" s="807"/>
      <c r="C101" s="807"/>
      <c r="D101" s="807"/>
      <c r="E101" s="807"/>
      <c r="F101" s="807"/>
      <c r="G101" s="807"/>
      <c r="H101" s="807"/>
      <c r="I101" s="807"/>
      <c r="J101" s="807"/>
      <c r="K101" s="807"/>
      <c r="L101" s="807"/>
      <c r="M101" s="807"/>
      <c r="N101" s="807"/>
    </row>
    <row r="102" spans="1:14" x14ac:dyDescent="0.25">
      <c r="A102" s="807"/>
      <c r="B102" s="807"/>
      <c r="C102" s="807"/>
      <c r="D102" s="807"/>
      <c r="E102" s="807"/>
      <c r="F102" s="807"/>
      <c r="G102" s="807"/>
      <c r="H102" s="807"/>
      <c r="I102" s="807"/>
      <c r="J102" s="807"/>
      <c r="K102" s="807"/>
      <c r="L102" s="807"/>
      <c r="M102" s="807"/>
      <c r="N102" s="807"/>
    </row>
    <row r="103" spans="1:14" x14ac:dyDescent="0.25">
      <c r="A103" s="807"/>
      <c r="B103" s="807"/>
      <c r="C103" s="807"/>
      <c r="D103" s="807"/>
      <c r="E103" s="807"/>
      <c r="F103" s="807"/>
      <c r="G103" s="807"/>
      <c r="H103" s="807"/>
      <c r="I103" s="807"/>
      <c r="J103" s="807"/>
      <c r="K103" s="807"/>
      <c r="L103" s="807"/>
      <c r="M103" s="807"/>
      <c r="N103" s="807"/>
    </row>
    <row r="104" spans="1:14" x14ac:dyDescent="0.25">
      <c r="A104" s="807"/>
      <c r="B104" s="807"/>
      <c r="C104" s="807"/>
      <c r="D104" s="807"/>
      <c r="E104" s="807"/>
      <c r="F104" s="807"/>
      <c r="G104" s="807"/>
      <c r="H104" s="807"/>
      <c r="I104" s="807"/>
      <c r="J104" s="807"/>
      <c r="K104" s="807"/>
      <c r="L104" s="807"/>
      <c r="M104" s="807"/>
      <c r="N104" s="807"/>
    </row>
    <row r="105" spans="1:14" x14ac:dyDescent="0.25">
      <c r="A105" s="807"/>
      <c r="B105" s="807"/>
      <c r="C105" s="807"/>
      <c r="D105" s="807"/>
      <c r="E105" s="807"/>
      <c r="F105" s="807"/>
      <c r="G105" s="807"/>
      <c r="H105" s="807"/>
      <c r="I105" s="807"/>
      <c r="J105" s="807"/>
      <c r="K105" s="807"/>
      <c r="L105" s="807"/>
      <c r="M105" s="807"/>
      <c r="N105" s="807"/>
    </row>
    <row r="106" spans="1:14" x14ac:dyDescent="0.25">
      <c r="A106" s="807"/>
      <c r="B106" s="807"/>
      <c r="C106" s="807"/>
      <c r="D106" s="807"/>
      <c r="E106" s="807"/>
      <c r="F106" s="807"/>
      <c r="G106" s="807"/>
      <c r="H106" s="807"/>
      <c r="I106" s="807"/>
      <c r="J106" s="807"/>
      <c r="K106" s="807"/>
      <c r="L106" s="807"/>
      <c r="M106" s="807"/>
      <c r="N106" s="807"/>
    </row>
    <row r="107" spans="1:14" x14ac:dyDescent="0.25">
      <c r="A107" s="807"/>
      <c r="B107" s="807"/>
      <c r="C107" s="807"/>
      <c r="D107" s="807"/>
      <c r="E107" s="807"/>
      <c r="F107" s="807"/>
      <c r="G107" s="807"/>
      <c r="H107" s="807"/>
      <c r="I107" s="807"/>
      <c r="J107" s="807"/>
      <c r="K107" s="807"/>
      <c r="L107" s="807"/>
      <c r="M107" s="807"/>
      <c r="N107" s="807"/>
    </row>
    <row r="108" spans="1:14" x14ac:dyDescent="0.25">
      <c r="A108" s="807"/>
      <c r="B108" s="807"/>
      <c r="C108" s="807"/>
      <c r="D108" s="807"/>
      <c r="E108" s="807"/>
      <c r="F108" s="807"/>
      <c r="G108" s="807"/>
      <c r="H108" s="807"/>
      <c r="I108" s="807"/>
      <c r="J108" s="807"/>
      <c r="K108" s="807"/>
      <c r="L108" s="807"/>
      <c r="M108" s="807"/>
      <c r="N108" s="807"/>
    </row>
    <row r="109" spans="1:14" x14ac:dyDescent="0.25">
      <c r="A109" s="807"/>
      <c r="B109" s="807"/>
      <c r="C109" s="807"/>
      <c r="D109" s="807"/>
      <c r="E109" s="807"/>
      <c r="F109" s="807"/>
      <c r="G109" s="807"/>
      <c r="H109" s="807"/>
      <c r="I109" s="807"/>
      <c r="J109" s="807"/>
      <c r="K109" s="807"/>
      <c r="L109" s="807"/>
      <c r="M109" s="807"/>
      <c r="N109" s="807"/>
    </row>
    <row r="110" spans="1:14" x14ac:dyDescent="0.25">
      <c r="A110" s="807"/>
      <c r="B110" s="807"/>
      <c r="C110" s="807"/>
      <c r="D110" s="807"/>
      <c r="E110" s="807"/>
      <c r="F110" s="807"/>
      <c r="G110" s="807"/>
      <c r="H110" s="807"/>
      <c r="I110" s="807"/>
      <c r="J110" s="807"/>
      <c r="K110" s="807"/>
      <c r="L110" s="807"/>
      <c r="M110" s="807"/>
      <c r="N110" s="807"/>
    </row>
    <row r="111" spans="1:14" x14ac:dyDescent="0.25">
      <c r="A111" s="807"/>
      <c r="B111" s="807"/>
      <c r="C111" s="807"/>
      <c r="D111" s="807"/>
      <c r="E111" s="807"/>
      <c r="F111" s="807"/>
      <c r="G111" s="807"/>
      <c r="H111" s="807"/>
      <c r="I111" s="807"/>
      <c r="J111" s="807"/>
      <c r="K111" s="807"/>
      <c r="L111" s="807"/>
      <c r="M111" s="807"/>
      <c r="N111" s="807"/>
    </row>
    <row r="112" spans="1:14" x14ac:dyDescent="0.25">
      <c r="A112" s="807"/>
      <c r="B112" s="807"/>
      <c r="C112" s="807"/>
      <c r="D112" s="807"/>
      <c r="E112" s="807"/>
      <c r="F112" s="807"/>
      <c r="G112" s="807"/>
      <c r="H112" s="807"/>
      <c r="I112" s="807"/>
      <c r="J112" s="807"/>
      <c r="K112" s="807"/>
      <c r="L112" s="807"/>
      <c r="M112" s="807"/>
      <c r="N112" s="807"/>
    </row>
    <row r="113" spans="1:14" x14ac:dyDescent="0.25">
      <c r="A113" s="807"/>
      <c r="B113" s="807"/>
      <c r="C113" s="807"/>
      <c r="D113" s="807"/>
      <c r="E113" s="807"/>
      <c r="F113" s="807"/>
      <c r="G113" s="807"/>
      <c r="H113" s="807"/>
      <c r="I113" s="807"/>
      <c r="J113" s="807"/>
      <c r="K113" s="807"/>
      <c r="L113" s="807"/>
      <c r="M113" s="807"/>
      <c r="N113" s="807"/>
    </row>
    <row r="114" spans="1:14" x14ac:dyDescent="0.25">
      <c r="A114" s="807"/>
      <c r="B114" s="807"/>
      <c r="C114" s="807"/>
      <c r="D114" s="807"/>
      <c r="E114" s="807"/>
      <c r="F114" s="807"/>
      <c r="G114" s="807"/>
      <c r="H114" s="807"/>
      <c r="I114" s="807"/>
      <c r="J114" s="807"/>
      <c r="K114" s="807"/>
      <c r="L114" s="807"/>
      <c r="M114" s="807"/>
      <c r="N114" s="807"/>
    </row>
    <row r="115" spans="1:14" x14ac:dyDescent="0.25">
      <c r="A115" s="807"/>
      <c r="B115" s="807"/>
      <c r="C115" s="807"/>
      <c r="D115" s="807"/>
      <c r="E115" s="807"/>
      <c r="F115" s="807"/>
      <c r="G115" s="807"/>
      <c r="H115" s="807"/>
      <c r="I115" s="807"/>
      <c r="J115" s="807"/>
      <c r="K115" s="807"/>
      <c r="L115" s="807"/>
      <c r="M115" s="807"/>
      <c r="N115" s="807"/>
    </row>
    <row r="116" spans="1:14" x14ac:dyDescent="0.25">
      <c r="A116" s="807"/>
      <c r="B116" s="807"/>
      <c r="C116" s="807"/>
      <c r="D116" s="807"/>
      <c r="E116" s="807"/>
      <c r="F116" s="807"/>
      <c r="G116" s="807"/>
      <c r="H116" s="807"/>
      <c r="I116" s="807"/>
      <c r="J116" s="807"/>
      <c r="K116" s="807"/>
      <c r="L116" s="807"/>
      <c r="M116" s="807"/>
      <c r="N116" s="807"/>
    </row>
    <row r="117" spans="1:14" x14ac:dyDescent="0.25">
      <c r="A117" s="807"/>
      <c r="B117" s="807"/>
      <c r="C117" s="807"/>
      <c r="D117" s="807"/>
      <c r="E117" s="807"/>
      <c r="F117" s="807"/>
      <c r="G117" s="807"/>
      <c r="H117" s="807"/>
      <c r="I117" s="807"/>
      <c r="J117" s="807"/>
      <c r="K117" s="807"/>
      <c r="L117" s="807"/>
      <c r="M117" s="807"/>
      <c r="N117" s="807"/>
    </row>
    <row r="118" spans="1:14" x14ac:dyDescent="0.25">
      <c r="A118" s="807"/>
      <c r="B118" s="807"/>
      <c r="C118" s="807"/>
      <c r="D118" s="807"/>
      <c r="E118" s="807"/>
      <c r="F118" s="807"/>
      <c r="G118" s="807"/>
      <c r="H118" s="807"/>
      <c r="I118" s="807"/>
      <c r="J118" s="807"/>
      <c r="K118" s="807"/>
      <c r="L118" s="807"/>
      <c r="M118" s="807"/>
      <c r="N118" s="807"/>
    </row>
    <row r="119" spans="1:14" x14ac:dyDescent="0.25">
      <c r="A119" s="807"/>
      <c r="B119" s="807"/>
      <c r="C119" s="807"/>
      <c r="D119" s="807"/>
      <c r="E119" s="807"/>
      <c r="F119" s="807"/>
      <c r="G119" s="807"/>
      <c r="H119" s="807"/>
      <c r="I119" s="807"/>
      <c r="J119" s="807"/>
      <c r="K119" s="807"/>
      <c r="L119" s="807"/>
      <c r="M119" s="807"/>
      <c r="N119" s="807"/>
    </row>
    <row r="120" spans="1:14" x14ac:dyDescent="0.25">
      <c r="A120" s="807"/>
      <c r="B120" s="807"/>
      <c r="C120" s="807"/>
      <c r="D120" s="807"/>
      <c r="E120" s="807"/>
      <c r="F120" s="807"/>
      <c r="G120" s="807"/>
      <c r="H120" s="807"/>
      <c r="I120" s="807"/>
      <c r="J120" s="807"/>
      <c r="K120" s="807"/>
      <c r="L120" s="807"/>
      <c r="M120" s="807"/>
      <c r="N120" s="807"/>
    </row>
    <row r="121" spans="1:14" x14ac:dyDescent="0.25">
      <c r="A121" s="807"/>
      <c r="B121" s="807"/>
      <c r="C121" s="807"/>
      <c r="D121" s="807"/>
      <c r="E121" s="807"/>
      <c r="F121" s="807"/>
      <c r="G121" s="807"/>
      <c r="H121" s="807"/>
      <c r="I121" s="807"/>
      <c r="J121" s="807"/>
      <c r="K121" s="807"/>
      <c r="L121" s="807"/>
      <c r="M121" s="807"/>
      <c r="N121" s="807"/>
    </row>
    <row r="122" spans="1:14" x14ac:dyDescent="0.25">
      <c r="A122" s="807"/>
      <c r="B122" s="807"/>
      <c r="C122" s="807"/>
      <c r="D122" s="807"/>
      <c r="E122" s="807"/>
      <c r="F122" s="807"/>
      <c r="G122" s="807"/>
      <c r="H122" s="807"/>
      <c r="I122" s="807"/>
      <c r="J122" s="807"/>
      <c r="K122" s="807"/>
      <c r="L122" s="807"/>
      <c r="M122" s="807"/>
      <c r="N122" s="807"/>
    </row>
    <row r="123" spans="1:14" x14ac:dyDescent="0.25">
      <c r="A123" s="807"/>
      <c r="B123" s="807"/>
      <c r="C123" s="807"/>
      <c r="D123" s="807"/>
      <c r="E123" s="807"/>
      <c r="F123" s="807"/>
      <c r="G123" s="807"/>
      <c r="H123" s="807"/>
      <c r="I123" s="807"/>
      <c r="J123" s="807"/>
      <c r="K123" s="807"/>
      <c r="L123" s="807"/>
      <c r="M123" s="807"/>
      <c r="N123" s="807"/>
    </row>
    <row r="124" spans="1:14" x14ac:dyDescent="0.25">
      <c r="A124" s="807"/>
      <c r="B124" s="807"/>
      <c r="C124" s="807"/>
      <c r="D124" s="807"/>
      <c r="E124" s="807"/>
      <c r="F124" s="807"/>
      <c r="G124" s="807"/>
      <c r="H124" s="807"/>
      <c r="I124" s="807"/>
      <c r="J124" s="807"/>
      <c r="K124" s="807"/>
      <c r="L124" s="807"/>
      <c r="M124" s="807"/>
      <c r="N124" s="807"/>
    </row>
    <row r="125" spans="1:14" x14ac:dyDescent="0.25">
      <c r="A125" s="807"/>
      <c r="B125" s="807"/>
      <c r="C125" s="807"/>
      <c r="D125" s="807"/>
      <c r="E125" s="807"/>
      <c r="F125" s="807"/>
      <c r="G125" s="807"/>
      <c r="H125" s="807"/>
      <c r="I125" s="807"/>
      <c r="J125" s="807"/>
      <c r="K125" s="807"/>
      <c r="L125" s="807"/>
      <c r="M125" s="807"/>
      <c r="N125" s="807"/>
    </row>
    <row r="126" spans="1:14" x14ac:dyDescent="0.25">
      <c r="A126" s="807"/>
      <c r="B126" s="807"/>
      <c r="C126" s="807"/>
      <c r="D126" s="807"/>
      <c r="E126" s="807"/>
      <c r="F126" s="807"/>
      <c r="G126" s="807"/>
      <c r="H126" s="807"/>
      <c r="I126" s="807"/>
      <c r="J126" s="807"/>
      <c r="K126" s="807"/>
      <c r="L126" s="807"/>
      <c r="M126" s="807"/>
      <c r="N126" s="807"/>
    </row>
    <row r="127" spans="1:14" x14ac:dyDescent="0.25">
      <c r="A127" s="807"/>
      <c r="B127" s="807"/>
      <c r="C127" s="807"/>
      <c r="D127" s="807"/>
      <c r="E127" s="807"/>
      <c r="F127" s="807"/>
      <c r="G127" s="807"/>
      <c r="H127" s="807"/>
      <c r="I127" s="807"/>
      <c r="J127" s="807"/>
      <c r="K127" s="807"/>
      <c r="L127" s="807"/>
      <c r="M127" s="807"/>
      <c r="N127" s="807"/>
    </row>
    <row r="128" spans="1:14" x14ac:dyDescent="0.25">
      <c r="A128" s="807"/>
      <c r="B128" s="807"/>
      <c r="C128" s="807"/>
      <c r="D128" s="807"/>
      <c r="E128" s="807"/>
      <c r="F128" s="807"/>
      <c r="G128" s="807"/>
      <c r="H128" s="807"/>
      <c r="I128" s="807"/>
      <c r="J128" s="807"/>
      <c r="K128" s="807"/>
      <c r="L128" s="807"/>
      <c r="M128" s="807"/>
      <c r="N128" s="807"/>
    </row>
    <row r="129" spans="1:14" x14ac:dyDescent="0.25">
      <c r="A129" s="807"/>
      <c r="B129" s="807"/>
      <c r="C129" s="807"/>
      <c r="D129" s="807"/>
      <c r="E129" s="807"/>
      <c r="F129" s="807"/>
      <c r="G129" s="807"/>
      <c r="H129" s="807"/>
      <c r="I129" s="807"/>
      <c r="J129" s="807"/>
      <c r="K129" s="807"/>
      <c r="L129" s="807"/>
      <c r="M129" s="807"/>
      <c r="N129" s="807"/>
    </row>
    <row r="130" spans="1:14" x14ac:dyDescent="0.25">
      <c r="A130" s="807"/>
      <c r="B130" s="807"/>
      <c r="C130" s="807"/>
      <c r="D130" s="807"/>
      <c r="E130" s="807"/>
      <c r="F130" s="807"/>
      <c r="G130" s="807"/>
      <c r="H130" s="807"/>
      <c r="I130" s="807"/>
      <c r="J130" s="807"/>
      <c r="K130" s="807"/>
      <c r="L130" s="807"/>
      <c r="M130" s="807"/>
      <c r="N130" s="807"/>
    </row>
    <row r="131" spans="1:14" x14ac:dyDescent="0.25">
      <c r="A131" s="807"/>
      <c r="B131" s="807"/>
      <c r="C131" s="807"/>
      <c r="D131" s="807"/>
      <c r="E131" s="807"/>
      <c r="F131" s="807"/>
      <c r="G131" s="807"/>
      <c r="H131" s="807"/>
      <c r="I131" s="807"/>
      <c r="J131" s="807"/>
      <c r="K131" s="807"/>
      <c r="L131" s="807"/>
      <c r="M131" s="807"/>
      <c r="N131" s="807"/>
    </row>
    <row r="132" spans="1:14" x14ac:dyDescent="0.25">
      <c r="A132" s="807"/>
      <c r="B132" s="807"/>
      <c r="C132" s="807"/>
      <c r="D132" s="807"/>
      <c r="E132" s="807"/>
      <c r="F132" s="807"/>
      <c r="G132" s="807"/>
      <c r="H132" s="807"/>
      <c r="I132" s="807"/>
      <c r="J132" s="807"/>
      <c r="K132" s="807"/>
      <c r="L132" s="807"/>
      <c r="M132" s="807"/>
      <c r="N132" s="807"/>
    </row>
    <row r="133" spans="1:14" x14ac:dyDescent="0.25">
      <c r="A133" s="807"/>
      <c r="B133" s="807"/>
      <c r="C133" s="807"/>
      <c r="D133" s="807"/>
      <c r="E133" s="807"/>
      <c r="F133" s="807"/>
      <c r="G133" s="807"/>
      <c r="H133" s="807"/>
      <c r="I133" s="807"/>
      <c r="J133" s="807"/>
      <c r="K133" s="807"/>
      <c r="L133" s="807"/>
      <c r="M133" s="807"/>
      <c r="N133" s="807"/>
    </row>
    <row r="134" spans="1:14" x14ac:dyDescent="0.25">
      <c r="A134" s="807"/>
      <c r="B134" s="807"/>
      <c r="C134" s="807"/>
      <c r="D134" s="807"/>
      <c r="E134" s="807"/>
      <c r="F134" s="807"/>
      <c r="G134" s="807"/>
      <c r="H134" s="807"/>
      <c r="I134" s="807"/>
      <c r="J134" s="807"/>
      <c r="K134" s="807"/>
      <c r="L134" s="807"/>
      <c r="M134" s="807"/>
      <c r="N134" s="807"/>
    </row>
    <row r="135" spans="1:14" x14ac:dyDescent="0.25">
      <c r="A135" s="807"/>
      <c r="B135" s="807"/>
      <c r="C135" s="807"/>
      <c r="D135" s="807"/>
      <c r="E135" s="807"/>
      <c r="F135" s="807"/>
      <c r="G135" s="807"/>
      <c r="H135" s="807"/>
      <c r="I135" s="807"/>
      <c r="J135" s="807"/>
      <c r="K135" s="807"/>
      <c r="L135" s="807"/>
      <c r="M135" s="807"/>
      <c r="N135" s="807"/>
    </row>
    <row r="136" spans="1:14" x14ac:dyDescent="0.25">
      <c r="A136" s="807"/>
      <c r="B136" s="807"/>
      <c r="C136" s="807"/>
      <c r="D136" s="807"/>
      <c r="E136" s="807"/>
      <c r="F136" s="807"/>
      <c r="G136" s="807"/>
      <c r="H136" s="807"/>
      <c r="I136" s="807"/>
      <c r="J136" s="807"/>
      <c r="K136" s="807"/>
      <c r="L136" s="807"/>
      <c r="M136" s="807"/>
      <c r="N136" s="807"/>
    </row>
    <row r="137" spans="1:14" x14ac:dyDescent="0.25">
      <c r="A137" s="807"/>
      <c r="B137" s="807"/>
      <c r="C137" s="807"/>
      <c r="D137" s="807"/>
      <c r="E137" s="807"/>
      <c r="F137" s="807"/>
      <c r="G137" s="807"/>
      <c r="H137" s="807"/>
      <c r="I137" s="807"/>
      <c r="J137" s="807"/>
      <c r="K137" s="807"/>
      <c r="L137" s="807"/>
      <c r="M137" s="807"/>
      <c r="N137" s="807"/>
    </row>
    <row r="138" spans="1:14" x14ac:dyDescent="0.25">
      <c r="A138" s="807"/>
      <c r="B138" s="807"/>
      <c r="C138" s="807"/>
      <c r="D138" s="807"/>
      <c r="E138" s="807"/>
      <c r="F138" s="807"/>
      <c r="G138" s="807"/>
      <c r="H138" s="807"/>
      <c r="I138" s="807"/>
      <c r="J138" s="807"/>
      <c r="K138" s="807"/>
      <c r="L138" s="807"/>
      <c r="M138" s="807"/>
      <c r="N138" s="807"/>
    </row>
    <row r="139" spans="1:14" x14ac:dyDescent="0.25">
      <c r="A139" s="807"/>
      <c r="B139" s="807"/>
      <c r="C139" s="807"/>
      <c r="D139" s="807"/>
      <c r="E139" s="807"/>
      <c r="F139" s="807"/>
      <c r="G139" s="807"/>
      <c r="H139" s="807"/>
      <c r="I139" s="807"/>
      <c r="J139" s="807"/>
      <c r="K139" s="807"/>
      <c r="L139" s="807"/>
      <c r="M139" s="807"/>
      <c r="N139" s="807"/>
    </row>
    <row r="140" spans="1:14" x14ac:dyDescent="0.25">
      <c r="A140" s="807"/>
      <c r="B140" s="807"/>
      <c r="C140" s="807"/>
      <c r="D140" s="807"/>
      <c r="E140" s="807"/>
      <c r="F140" s="807"/>
      <c r="G140" s="807"/>
      <c r="H140" s="807"/>
      <c r="I140" s="807"/>
      <c r="J140" s="807"/>
      <c r="K140" s="807"/>
      <c r="L140" s="807"/>
      <c r="M140" s="807"/>
      <c r="N140" s="807"/>
    </row>
    <row r="141" spans="1:14" x14ac:dyDescent="0.25">
      <c r="A141" s="807"/>
      <c r="B141" s="807"/>
      <c r="C141" s="807"/>
      <c r="D141" s="807"/>
      <c r="E141" s="807"/>
      <c r="F141" s="807"/>
      <c r="G141" s="807"/>
      <c r="H141" s="807"/>
      <c r="I141" s="807"/>
      <c r="J141" s="807"/>
      <c r="K141" s="807"/>
      <c r="L141" s="807"/>
      <c r="M141" s="807"/>
      <c r="N141" s="807"/>
    </row>
    <row r="142" spans="1:14" x14ac:dyDescent="0.25">
      <c r="A142" s="807"/>
      <c r="B142" s="807"/>
      <c r="C142" s="807"/>
      <c r="D142" s="807"/>
      <c r="E142" s="807"/>
      <c r="F142" s="807"/>
      <c r="G142" s="807"/>
      <c r="H142" s="807"/>
      <c r="I142" s="807"/>
      <c r="J142" s="807"/>
      <c r="K142" s="807"/>
      <c r="L142" s="807"/>
      <c r="M142" s="807"/>
      <c r="N142" s="807"/>
    </row>
    <row r="143" spans="1:14" x14ac:dyDescent="0.25">
      <c r="A143" s="807"/>
      <c r="B143" s="807"/>
      <c r="C143" s="807"/>
      <c r="D143" s="807"/>
      <c r="E143" s="807"/>
      <c r="F143" s="807"/>
      <c r="G143" s="807"/>
      <c r="H143" s="807"/>
      <c r="I143" s="807"/>
      <c r="J143" s="807"/>
      <c r="K143" s="807"/>
      <c r="L143" s="807"/>
      <c r="M143" s="807"/>
      <c r="N143" s="807"/>
    </row>
    <row r="144" spans="1:14" x14ac:dyDescent="0.25">
      <c r="A144" s="807"/>
      <c r="B144" s="807"/>
      <c r="C144" s="807"/>
      <c r="D144" s="807"/>
      <c r="E144" s="807"/>
      <c r="F144" s="807"/>
      <c r="G144" s="807"/>
      <c r="H144" s="807"/>
      <c r="I144" s="807"/>
      <c r="J144" s="807"/>
      <c r="K144" s="807"/>
      <c r="L144" s="807"/>
      <c r="M144" s="807"/>
      <c r="N144" s="807"/>
    </row>
    <row r="145" spans="1:14" x14ac:dyDescent="0.25">
      <c r="A145" s="807"/>
      <c r="B145" s="807"/>
      <c r="C145" s="807"/>
      <c r="D145" s="807"/>
      <c r="E145" s="807"/>
      <c r="F145" s="807"/>
      <c r="G145" s="807"/>
      <c r="H145" s="807"/>
      <c r="I145" s="807"/>
      <c r="J145" s="807"/>
      <c r="K145" s="807"/>
      <c r="L145" s="807"/>
      <c r="M145" s="807"/>
      <c r="N145" s="807"/>
    </row>
    <row r="146" spans="1:14" x14ac:dyDescent="0.25">
      <c r="A146" s="807"/>
      <c r="B146" s="807"/>
      <c r="C146" s="807"/>
      <c r="D146" s="807"/>
      <c r="E146" s="807"/>
      <c r="F146" s="807"/>
      <c r="G146" s="807"/>
      <c r="H146" s="807"/>
      <c r="I146" s="807"/>
      <c r="J146" s="807"/>
      <c r="K146" s="807"/>
      <c r="L146" s="807"/>
      <c r="M146" s="807"/>
      <c r="N146" s="807"/>
    </row>
    <row r="147" spans="1:14" x14ac:dyDescent="0.25">
      <c r="A147" s="807"/>
      <c r="B147" s="807"/>
      <c r="C147" s="807"/>
      <c r="D147" s="807"/>
      <c r="E147" s="807"/>
      <c r="F147" s="807"/>
      <c r="G147" s="807"/>
      <c r="H147" s="807"/>
      <c r="I147" s="807"/>
      <c r="J147" s="807"/>
      <c r="K147" s="807"/>
      <c r="L147" s="807"/>
      <c r="M147" s="807"/>
      <c r="N147" s="807"/>
    </row>
    <row r="148" spans="1:14" x14ac:dyDescent="0.25">
      <c r="A148" s="807"/>
      <c r="B148" s="807"/>
      <c r="C148" s="807"/>
      <c r="D148" s="807"/>
      <c r="E148" s="807"/>
      <c r="F148" s="807"/>
      <c r="G148" s="807"/>
      <c r="H148" s="807"/>
      <c r="I148" s="807"/>
      <c r="J148" s="807"/>
      <c r="K148" s="807"/>
      <c r="L148" s="807"/>
      <c r="M148" s="807"/>
      <c r="N148" s="807"/>
    </row>
    <row r="149" spans="1:14" x14ac:dyDescent="0.25">
      <c r="A149" s="807"/>
      <c r="B149" s="807"/>
      <c r="C149" s="807"/>
      <c r="D149" s="807"/>
      <c r="E149" s="807"/>
      <c r="F149" s="807"/>
      <c r="G149" s="807"/>
      <c r="H149" s="807"/>
      <c r="I149" s="807"/>
      <c r="J149" s="807"/>
      <c r="K149" s="807"/>
      <c r="L149" s="807"/>
      <c r="M149" s="807"/>
      <c r="N149" s="807"/>
    </row>
    <row r="150" spans="1:14" x14ac:dyDescent="0.25">
      <c r="A150" s="807"/>
      <c r="B150" s="807"/>
      <c r="C150" s="807"/>
      <c r="D150" s="807"/>
      <c r="E150" s="807"/>
      <c r="F150" s="807"/>
      <c r="G150" s="807"/>
      <c r="H150" s="807"/>
      <c r="I150" s="807"/>
      <c r="J150" s="807"/>
      <c r="K150" s="807"/>
      <c r="L150" s="807"/>
      <c r="M150" s="807"/>
      <c r="N150" s="807"/>
    </row>
    <row r="151" spans="1:14" x14ac:dyDescent="0.25">
      <c r="A151" s="807"/>
      <c r="B151" s="807"/>
      <c r="C151" s="807"/>
      <c r="D151" s="807"/>
      <c r="E151" s="807"/>
      <c r="F151" s="807"/>
      <c r="G151" s="807"/>
      <c r="H151" s="807"/>
      <c r="I151" s="807"/>
      <c r="J151" s="807"/>
      <c r="K151" s="807"/>
      <c r="L151" s="807"/>
      <c r="M151" s="807"/>
      <c r="N151" s="807"/>
    </row>
    <row r="152" spans="1:14" x14ac:dyDescent="0.25">
      <c r="A152" s="807"/>
      <c r="B152" s="807"/>
      <c r="C152" s="807"/>
      <c r="D152" s="807"/>
      <c r="E152" s="807"/>
      <c r="F152" s="807"/>
      <c r="G152" s="807"/>
      <c r="H152" s="807"/>
      <c r="I152" s="807"/>
      <c r="J152" s="807"/>
      <c r="K152" s="807"/>
      <c r="L152" s="807"/>
      <c r="M152" s="807"/>
      <c r="N152" s="807"/>
    </row>
    <row r="153" spans="1:14" x14ac:dyDescent="0.25">
      <c r="A153" s="807"/>
      <c r="B153" s="807"/>
      <c r="C153" s="807"/>
      <c r="D153" s="807"/>
      <c r="E153" s="807"/>
      <c r="F153" s="807"/>
      <c r="G153" s="807"/>
      <c r="H153" s="807"/>
      <c r="I153" s="807"/>
      <c r="J153" s="807"/>
      <c r="K153" s="807"/>
      <c r="L153" s="807"/>
      <c r="M153" s="807"/>
      <c r="N153" s="807"/>
    </row>
    <row r="154" spans="1:14" x14ac:dyDescent="0.25">
      <c r="A154" s="807"/>
      <c r="B154" s="807"/>
      <c r="C154" s="807"/>
      <c r="D154" s="807"/>
      <c r="E154" s="807"/>
      <c r="F154" s="807"/>
      <c r="G154" s="807"/>
      <c r="H154" s="807"/>
      <c r="I154" s="807"/>
      <c r="J154" s="807"/>
      <c r="K154" s="807"/>
      <c r="L154" s="807"/>
      <c r="M154" s="807"/>
      <c r="N154" s="807"/>
    </row>
    <row r="155" spans="1:14" x14ac:dyDescent="0.25">
      <c r="A155" s="807"/>
      <c r="B155" s="807"/>
      <c r="C155" s="807"/>
      <c r="D155" s="807"/>
      <c r="E155" s="807"/>
      <c r="F155" s="807"/>
      <c r="G155" s="807"/>
      <c r="H155" s="807"/>
      <c r="I155" s="807"/>
      <c r="J155" s="807"/>
      <c r="K155" s="807"/>
      <c r="L155" s="807"/>
      <c r="M155" s="807"/>
      <c r="N155" s="807"/>
    </row>
    <row r="156" spans="1:14" x14ac:dyDescent="0.25">
      <c r="A156" s="807"/>
      <c r="B156" s="807"/>
      <c r="C156" s="807"/>
      <c r="D156" s="807"/>
      <c r="E156" s="807"/>
      <c r="F156" s="807"/>
      <c r="G156" s="807"/>
      <c r="H156" s="807"/>
      <c r="I156" s="807"/>
      <c r="J156" s="807"/>
      <c r="K156" s="807"/>
      <c r="L156" s="807"/>
      <c r="M156" s="807"/>
      <c r="N156" s="807"/>
    </row>
    <row r="157" spans="1:14" x14ac:dyDescent="0.25">
      <c r="A157" s="807"/>
      <c r="B157" s="807"/>
      <c r="C157" s="807"/>
      <c r="D157" s="807"/>
      <c r="E157" s="807"/>
      <c r="F157" s="807"/>
      <c r="G157" s="807"/>
      <c r="H157" s="807"/>
      <c r="I157" s="807"/>
      <c r="J157" s="807"/>
      <c r="K157" s="807"/>
      <c r="L157" s="807"/>
      <c r="M157" s="807"/>
      <c r="N157" s="807"/>
    </row>
    <row r="158" spans="1:14" x14ac:dyDescent="0.25">
      <c r="A158" s="807"/>
      <c r="B158" s="807"/>
      <c r="C158" s="807"/>
      <c r="D158" s="807"/>
      <c r="E158" s="807"/>
      <c r="F158" s="807"/>
      <c r="G158" s="807"/>
      <c r="H158" s="807"/>
      <c r="I158" s="807"/>
      <c r="J158" s="807"/>
      <c r="K158" s="807"/>
      <c r="L158" s="807"/>
      <c r="M158" s="807"/>
      <c r="N158" s="807"/>
    </row>
    <row r="159" spans="1:14" x14ac:dyDescent="0.25">
      <c r="A159" s="807"/>
      <c r="B159" s="807"/>
      <c r="C159" s="807"/>
      <c r="D159" s="807"/>
      <c r="E159" s="807"/>
      <c r="F159" s="807"/>
      <c r="G159" s="807"/>
      <c r="H159" s="807"/>
      <c r="I159" s="807"/>
      <c r="J159" s="807"/>
      <c r="K159" s="807"/>
      <c r="L159" s="807"/>
      <c r="M159" s="807"/>
      <c r="N159" s="807"/>
    </row>
    <row r="160" spans="1:14" x14ac:dyDescent="0.25">
      <c r="A160" s="807"/>
      <c r="B160" s="807"/>
      <c r="C160" s="807"/>
      <c r="D160" s="807"/>
      <c r="E160" s="807"/>
      <c r="F160" s="807"/>
      <c r="G160" s="807"/>
      <c r="H160" s="807"/>
      <c r="I160" s="807"/>
      <c r="J160" s="807"/>
      <c r="K160" s="807"/>
      <c r="L160" s="807"/>
      <c r="M160" s="807"/>
      <c r="N160" s="807"/>
    </row>
    <row r="161" spans="1:14" x14ac:dyDescent="0.25">
      <c r="A161" s="807"/>
      <c r="B161" s="807"/>
      <c r="C161" s="807"/>
      <c r="D161" s="807"/>
      <c r="E161" s="807"/>
      <c r="F161" s="807"/>
      <c r="G161" s="807"/>
      <c r="H161" s="807"/>
      <c r="I161" s="807"/>
      <c r="J161" s="807"/>
      <c r="K161" s="807"/>
      <c r="L161" s="807"/>
      <c r="M161" s="807"/>
      <c r="N161" s="807"/>
    </row>
    <row r="162" spans="1:14" x14ac:dyDescent="0.25">
      <c r="A162" s="807"/>
      <c r="B162" s="807"/>
      <c r="C162" s="807"/>
      <c r="D162" s="807"/>
      <c r="E162" s="807"/>
      <c r="F162" s="807"/>
      <c r="G162" s="807"/>
      <c r="H162" s="807"/>
      <c r="I162" s="807"/>
      <c r="J162" s="807"/>
      <c r="K162" s="807"/>
      <c r="L162" s="807"/>
      <c r="M162" s="807"/>
      <c r="N162" s="807"/>
    </row>
    <row r="163" spans="1:14" x14ac:dyDescent="0.25">
      <c r="A163" s="807"/>
      <c r="B163" s="807"/>
      <c r="C163" s="807"/>
      <c r="D163" s="807"/>
      <c r="E163" s="807"/>
      <c r="F163" s="807"/>
      <c r="G163" s="807"/>
      <c r="H163" s="807"/>
      <c r="I163" s="807"/>
      <c r="J163" s="807"/>
      <c r="K163" s="807"/>
      <c r="L163" s="807"/>
      <c r="M163" s="807"/>
      <c r="N163" s="807"/>
    </row>
    <row r="164" spans="1:14" x14ac:dyDescent="0.25">
      <c r="A164" s="807"/>
      <c r="B164" s="807"/>
      <c r="C164" s="807"/>
      <c r="D164" s="807"/>
      <c r="E164" s="807"/>
      <c r="F164" s="807"/>
      <c r="G164" s="807"/>
      <c r="H164" s="807"/>
      <c r="I164" s="807"/>
      <c r="J164" s="807"/>
      <c r="K164" s="807"/>
      <c r="L164" s="807"/>
      <c r="M164" s="807"/>
      <c r="N164" s="807"/>
    </row>
    <row r="165" spans="1:14" x14ac:dyDescent="0.25">
      <c r="A165" s="807"/>
      <c r="B165" s="807"/>
      <c r="C165" s="807"/>
      <c r="D165" s="807"/>
      <c r="E165" s="807"/>
      <c r="F165" s="807"/>
      <c r="G165" s="807"/>
      <c r="H165" s="807"/>
      <c r="I165" s="807"/>
      <c r="J165" s="807"/>
      <c r="K165" s="807"/>
      <c r="L165" s="807"/>
      <c r="M165" s="807"/>
      <c r="N165" s="807"/>
    </row>
    <row r="166" spans="1:14" x14ac:dyDescent="0.25">
      <c r="A166" s="807"/>
      <c r="B166" s="807"/>
      <c r="C166" s="807"/>
      <c r="D166" s="807"/>
      <c r="E166" s="807"/>
      <c r="F166" s="807"/>
      <c r="G166" s="807"/>
      <c r="H166" s="807"/>
      <c r="I166" s="807"/>
      <c r="J166" s="807"/>
      <c r="K166" s="807"/>
      <c r="L166" s="807"/>
      <c r="M166" s="807"/>
      <c r="N166" s="807"/>
    </row>
    <row r="167" spans="1:14" x14ac:dyDescent="0.25">
      <c r="A167" s="807"/>
      <c r="B167" s="807"/>
      <c r="C167" s="807"/>
      <c r="D167" s="807"/>
      <c r="E167" s="807"/>
      <c r="F167" s="807"/>
      <c r="G167" s="807"/>
      <c r="H167" s="807"/>
      <c r="I167" s="807"/>
      <c r="J167" s="807"/>
      <c r="K167" s="807"/>
      <c r="L167" s="807"/>
      <c r="M167" s="807"/>
      <c r="N167" s="807"/>
    </row>
    <row r="168" spans="1:14" x14ac:dyDescent="0.25">
      <c r="A168" s="807"/>
      <c r="B168" s="807"/>
      <c r="C168" s="807"/>
      <c r="D168" s="807"/>
      <c r="E168" s="807"/>
      <c r="F168" s="807"/>
      <c r="G168" s="807"/>
      <c r="H168" s="807"/>
      <c r="I168" s="807"/>
      <c r="J168" s="807"/>
      <c r="K168" s="807"/>
      <c r="L168" s="807"/>
      <c r="M168" s="807"/>
      <c r="N168" s="807"/>
    </row>
    <row r="169" spans="1:14" x14ac:dyDescent="0.25">
      <c r="A169" s="807"/>
      <c r="B169" s="807"/>
      <c r="C169" s="807"/>
      <c r="D169" s="807"/>
      <c r="E169" s="807"/>
      <c r="F169" s="807"/>
      <c r="G169" s="807"/>
      <c r="H169" s="807"/>
      <c r="I169" s="807"/>
      <c r="J169" s="807"/>
      <c r="K169" s="807"/>
      <c r="L169" s="807"/>
      <c r="M169" s="807"/>
      <c r="N169" s="807"/>
    </row>
    <row r="170" spans="1:14" x14ac:dyDescent="0.25">
      <c r="A170" s="807"/>
      <c r="B170" s="807"/>
      <c r="C170" s="807"/>
      <c r="D170" s="807"/>
      <c r="E170" s="807"/>
      <c r="F170" s="807"/>
      <c r="G170" s="807"/>
      <c r="H170" s="807"/>
      <c r="I170" s="807"/>
      <c r="J170" s="807"/>
      <c r="K170" s="807"/>
      <c r="L170" s="807"/>
      <c r="M170" s="807"/>
      <c r="N170" s="807"/>
    </row>
    <row r="171" spans="1:14" x14ac:dyDescent="0.25">
      <c r="A171" s="807"/>
      <c r="B171" s="807"/>
      <c r="C171" s="807"/>
      <c r="D171" s="807"/>
      <c r="E171" s="807"/>
      <c r="F171" s="807"/>
      <c r="G171" s="807"/>
      <c r="H171" s="807"/>
      <c r="I171" s="807"/>
      <c r="J171" s="807"/>
      <c r="K171" s="807"/>
      <c r="L171" s="807"/>
      <c r="M171" s="807"/>
      <c r="N171" s="807"/>
    </row>
    <row r="172" spans="1:14" x14ac:dyDescent="0.25">
      <c r="A172" s="807"/>
      <c r="B172" s="807"/>
      <c r="C172" s="807"/>
      <c r="D172" s="807"/>
      <c r="E172" s="807"/>
      <c r="F172" s="807"/>
      <c r="G172" s="807"/>
      <c r="H172" s="807"/>
      <c r="I172" s="807"/>
      <c r="J172" s="807"/>
      <c r="K172" s="807"/>
      <c r="L172" s="807"/>
      <c r="M172" s="807"/>
      <c r="N172" s="807"/>
    </row>
    <row r="173" spans="1:14" x14ac:dyDescent="0.25">
      <c r="A173" s="807"/>
      <c r="B173" s="807"/>
      <c r="C173" s="807"/>
      <c r="D173" s="807"/>
      <c r="E173" s="807"/>
      <c r="F173" s="807"/>
      <c r="G173" s="807"/>
      <c r="H173" s="807"/>
      <c r="I173" s="807"/>
      <c r="J173" s="807"/>
      <c r="K173" s="807"/>
      <c r="L173" s="807"/>
      <c r="M173" s="807"/>
      <c r="N173" s="807"/>
    </row>
    <row r="174" spans="1:14" x14ac:dyDescent="0.25">
      <c r="A174" s="807"/>
      <c r="B174" s="807"/>
      <c r="C174" s="807"/>
      <c r="D174" s="807"/>
      <c r="E174" s="807"/>
      <c r="F174" s="807"/>
      <c r="G174" s="807"/>
      <c r="H174" s="807"/>
      <c r="I174" s="807"/>
      <c r="J174" s="807"/>
      <c r="K174" s="807"/>
      <c r="L174" s="807"/>
      <c r="M174" s="807"/>
      <c r="N174" s="807"/>
    </row>
    <row r="175" spans="1:14" x14ac:dyDescent="0.25">
      <c r="A175" s="807"/>
      <c r="B175" s="807"/>
      <c r="C175" s="807"/>
      <c r="D175" s="807"/>
      <c r="E175" s="807"/>
      <c r="F175" s="807"/>
      <c r="G175" s="807"/>
      <c r="H175" s="807"/>
      <c r="I175" s="807"/>
      <c r="J175" s="807"/>
      <c r="K175" s="807"/>
      <c r="L175" s="807"/>
      <c r="M175" s="807"/>
      <c r="N175" s="807"/>
    </row>
    <row r="176" spans="1:14" x14ac:dyDescent="0.25">
      <c r="A176" s="807"/>
      <c r="B176" s="807"/>
      <c r="C176" s="807"/>
      <c r="D176" s="807"/>
      <c r="E176" s="807"/>
      <c r="F176" s="807"/>
      <c r="G176" s="807"/>
      <c r="H176" s="807"/>
      <c r="I176" s="807"/>
      <c r="J176" s="807"/>
      <c r="K176" s="807"/>
      <c r="L176" s="807"/>
      <c r="M176" s="807"/>
      <c r="N176" s="807"/>
    </row>
    <row r="177" spans="1:14" x14ac:dyDescent="0.25">
      <c r="A177" s="807"/>
      <c r="B177" s="807"/>
      <c r="C177" s="807"/>
      <c r="D177" s="807"/>
      <c r="E177" s="807"/>
      <c r="F177" s="807"/>
      <c r="G177" s="807"/>
      <c r="H177" s="807"/>
      <c r="I177" s="807"/>
      <c r="J177" s="807"/>
      <c r="K177" s="807"/>
      <c r="L177" s="807"/>
      <c r="M177" s="807"/>
      <c r="N177" s="807"/>
    </row>
    <row r="178" spans="1:14" x14ac:dyDescent="0.25">
      <c r="A178" s="807"/>
      <c r="B178" s="807"/>
      <c r="C178" s="807"/>
      <c r="D178" s="807"/>
      <c r="E178" s="807"/>
      <c r="F178" s="807"/>
      <c r="G178" s="807"/>
      <c r="H178" s="807"/>
      <c r="I178" s="807"/>
      <c r="J178" s="807"/>
      <c r="K178" s="807"/>
      <c r="L178" s="807"/>
      <c r="M178" s="807"/>
      <c r="N178" s="807"/>
    </row>
    <row r="179" spans="1:14" x14ac:dyDescent="0.25">
      <c r="A179" s="807"/>
      <c r="B179" s="807"/>
      <c r="C179" s="807"/>
      <c r="D179" s="807"/>
      <c r="E179" s="807"/>
      <c r="F179" s="807"/>
      <c r="G179" s="807"/>
      <c r="H179" s="807"/>
      <c r="I179" s="807"/>
      <c r="J179" s="807"/>
      <c r="K179" s="807"/>
      <c r="L179" s="807"/>
      <c r="M179" s="807"/>
      <c r="N179" s="807"/>
    </row>
    <row r="180" spans="1:14" x14ac:dyDescent="0.25">
      <c r="A180" s="807"/>
      <c r="B180" s="807"/>
      <c r="C180" s="807"/>
      <c r="D180" s="807"/>
      <c r="E180" s="807"/>
      <c r="F180" s="807"/>
      <c r="G180" s="807"/>
      <c r="H180" s="807"/>
      <c r="I180" s="807"/>
      <c r="J180" s="807"/>
      <c r="K180" s="807"/>
      <c r="L180" s="807"/>
      <c r="M180" s="807"/>
      <c r="N180" s="807"/>
    </row>
    <row r="181" spans="1:14" x14ac:dyDescent="0.25">
      <c r="A181" s="807"/>
      <c r="B181" s="807"/>
      <c r="C181" s="807"/>
      <c r="D181" s="807"/>
      <c r="E181" s="807"/>
      <c r="F181" s="807"/>
      <c r="G181" s="807"/>
      <c r="H181" s="807"/>
      <c r="I181" s="807"/>
      <c r="J181" s="807"/>
      <c r="K181" s="807"/>
      <c r="L181" s="807"/>
      <c r="M181" s="807"/>
      <c r="N181" s="807"/>
    </row>
    <row r="182" spans="1:14" x14ac:dyDescent="0.25">
      <c r="A182" s="807"/>
      <c r="B182" s="807"/>
      <c r="C182" s="807"/>
      <c r="D182" s="807"/>
      <c r="E182" s="807"/>
      <c r="F182" s="807"/>
      <c r="G182" s="807"/>
      <c r="H182" s="807"/>
      <c r="I182" s="807"/>
      <c r="J182" s="807"/>
      <c r="K182" s="807"/>
      <c r="L182" s="807"/>
      <c r="M182" s="807"/>
      <c r="N182" s="807"/>
    </row>
    <row r="183" spans="1:14" x14ac:dyDescent="0.25">
      <c r="A183" s="807"/>
      <c r="B183" s="807"/>
      <c r="C183" s="807"/>
      <c r="D183" s="807"/>
      <c r="E183" s="807"/>
      <c r="F183" s="807"/>
      <c r="G183" s="807"/>
      <c r="H183" s="807"/>
      <c r="I183" s="807"/>
      <c r="J183" s="807"/>
      <c r="K183" s="807"/>
      <c r="L183" s="807"/>
      <c r="M183" s="807"/>
      <c r="N183" s="807"/>
    </row>
    <row r="184" spans="1:14" x14ac:dyDescent="0.25">
      <c r="A184" s="807"/>
      <c r="B184" s="807"/>
      <c r="C184" s="807"/>
      <c r="D184" s="807"/>
      <c r="E184" s="807"/>
      <c r="F184" s="807"/>
      <c r="G184" s="807"/>
      <c r="H184" s="807"/>
      <c r="I184" s="807"/>
      <c r="J184" s="807"/>
      <c r="K184" s="807"/>
      <c r="L184" s="807"/>
      <c r="M184" s="807"/>
      <c r="N184" s="807"/>
    </row>
    <row r="185" spans="1:14" x14ac:dyDescent="0.25">
      <c r="A185" s="807"/>
      <c r="B185" s="807"/>
      <c r="C185" s="807"/>
      <c r="D185" s="807"/>
      <c r="E185" s="807"/>
      <c r="F185" s="807"/>
      <c r="G185" s="807"/>
      <c r="H185" s="807"/>
      <c r="I185" s="807"/>
      <c r="J185" s="807"/>
      <c r="K185" s="807"/>
      <c r="L185" s="807"/>
      <c r="M185" s="807"/>
      <c r="N185" s="807"/>
    </row>
    <row r="186" spans="1:14" x14ac:dyDescent="0.25">
      <c r="A186" s="807"/>
      <c r="B186" s="807"/>
      <c r="C186" s="807"/>
      <c r="D186" s="807"/>
      <c r="E186" s="807"/>
      <c r="F186" s="807"/>
      <c r="G186" s="807"/>
      <c r="H186" s="807"/>
      <c r="I186" s="807"/>
      <c r="J186" s="807"/>
      <c r="K186" s="807"/>
      <c r="L186" s="807"/>
      <c r="M186" s="807"/>
      <c r="N186" s="807"/>
    </row>
    <row r="187" spans="1:14" x14ac:dyDescent="0.25">
      <c r="A187" s="807"/>
      <c r="B187" s="807"/>
      <c r="C187" s="807"/>
      <c r="D187" s="807"/>
      <c r="E187" s="807"/>
      <c r="F187" s="807"/>
      <c r="G187" s="807"/>
      <c r="H187" s="807"/>
      <c r="I187" s="807"/>
      <c r="J187" s="807"/>
      <c r="K187" s="807"/>
      <c r="L187" s="807"/>
      <c r="M187" s="807"/>
      <c r="N187" s="807"/>
    </row>
    <row r="188" spans="1:14" x14ac:dyDescent="0.25">
      <c r="A188" s="807"/>
      <c r="B188" s="807"/>
      <c r="C188" s="807"/>
      <c r="D188" s="807"/>
      <c r="E188" s="807"/>
      <c r="F188" s="807"/>
      <c r="G188" s="807"/>
      <c r="H188" s="807"/>
      <c r="I188" s="807"/>
      <c r="J188" s="807"/>
      <c r="K188" s="807"/>
      <c r="L188" s="807"/>
      <c r="M188" s="807"/>
      <c r="N188" s="807"/>
    </row>
    <row r="189" spans="1:14" x14ac:dyDescent="0.25">
      <c r="A189" s="807"/>
      <c r="B189" s="807"/>
      <c r="C189" s="807"/>
      <c r="D189" s="807"/>
      <c r="E189" s="807"/>
      <c r="F189" s="807"/>
      <c r="G189" s="807"/>
      <c r="H189" s="807"/>
      <c r="I189" s="807"/>
      <c r="J189" s="807"/>
      <c r="K189" s="807"/>
      <c r="L189" s="807"/>
      <c r="M189" s="807"/>
      <c r="N189" s="807"/>
    </row>
    <row r="190" spans="1:14" x14ac:dyDescent="0.25">
      <c r="A190" s="807"/>
      <c r="B190" s="807"/>
      <c r="C190" s="807"/>
      <c r="D190" s="807"/>
      <c r="E190" s="807"/>
      <c r="F190" s="807"/>
      <c r="G190" s="807"/>
      <c r="H190" s="807"/>
      <c r="I190" s="807"/>
      <c r="J190" s="807"/>
      <c r="K190" s="807"/>
      <c r="L190" s="807"/>
      <c r="M190" s="807"/>
      <c r="N190" s="807"/>
    </row>
    <row r="191" spans="1:14" x14ac:dyDescent="0.25">
      <c r="A191" s="807"/>
      <c r="B191" s="807"/>
      <c r="C191" s="807"/>
      <c r="D191" s="807"/>
      <c r="E191" s="807"/>
      <c r="F191" s="807"/>
      <c r="G191" s="807"/>
      <c r="H191" s="807"/>
      <c r="I191" s="807"/>
      <c r="J191" s="807"/>
      <c r="K191" s="807"/>
      <c r="L191" s="807"/>
      <c r="M191" s="807"/>
      <c r="N191" s="807"/>
    </row>
    <row r="192" spans="1:14" x14ac:dyDescent="0.25">
      <c r="A192" s="807"/>
      <c r="B192" s="807"/>
      <c r="C192" s="807"/>
      <c r="D192" s="807"/>
      <c r="E192" s="807"/>
      <c r="F192" s="807"/>
      <c r="G192" s="807"/>
      <c r="H192" s="807"/>
      <c r="I192" s="807"/>
      <c r="J192" s="807"/>
      <c r="K192" s="807"/>
      <c r="L192" s="807"/>
      <c r="M192" s="807"/>
      <c r="N192" s="807"/>
    </row>
    <row r="193" spans="1:14" x14ac:dyDescent="0.25">
      <c r="A193" s="807"/>
      <c r="B193" s="807"/>
      <c r="C193" s="807"/>
      <c r="D193" s="807"/>
      <c r="E193" s="807"/>
      <c r="F193" s="807"/>
      <c r="G193" s="807"/>
      <c r="H193" s="807"/>
      <c r="I193" s="807"/>
      <c r="J193" s="807"/>
      <c r="K193" s="807"/>
      <c r="L193" s="807"/>
      <c r="M193" s="807"/>
      <c r="N193" s="807"/>
    </row>
    <row r="194" spans="1:14" x14ac:dyDescent="0.25">
      <c r="A194" s="807"/>
      <c r="B194" s="807"/>
      <c r="C194" s="807"/>
      <c r="D194" s="807"/>
      <c r="E194" s="807"/>
      <c r="F194" s="807"/>
      <c r="G194" s="807"/>
      <c r="H194" s="807"/>
      <c r="I194" s="807"/>
      <c r="J194" s="807"/>
      <c r="K194" s="807"/>
      <c r="L194" s="807"/>
      <c r="M194" s="807"/>
      <c r="N194" s="807"/>
    </row>
    <row r="195" spans="1:14" x14ac:dyDescent="0.25">
      <c r="A195" s="807"/>
      <c r="B195" s="807"/>
      <c r="C195" s="807"/>
      <c r="D195" s="807"/>
      <c r="E195" s="807"/>
      <c r="F195" s="807"/>
      <c r="G195" s="807"/>
      <c r="H195" s="807"/>
      <c r="I195" s="807"/>
      <c r="J195" s="807"/>
      <c r="K195" s="807"/>
      <c r="L195" s="807"/>
      <c r="M195" s="807"/>
      <c r="N195" s="807"/>
    </row>
    <row r="196" spans="1:14" x14ac:dyDescent="0.25">
      <c r="A196" s="807"/>
      <c r="B196" s="807"/>
      <c r="C196" s="807"/>
      <c r="D196" s="807"/>
      <c r="E196" s="807"/>
      <c r="F196" s="807"/>
      <c r="G196" s="807"/>
      <c r="H196" s="807"/>
      <c r="I196" s="807"/>
      <c r="J196" s="807"/>
      <c r="K196" s="807"/>
      <c r="L196" s="807"/>
      <c r="M196" s="807"/>
      <c r="N196" s="807"/>
    </row>
    <row r="197" spans="1:14" x14ac:dyDescent="0.25">
      <c r="A197" s="807"/>
      <c r="B197" s="807"/>
      <c r="C197" s="807"/>
      <c r="D197" s="807"/>
      <c r="E197" s="807"/>
      <c r="F197" s="807"/>
      <c r="G197" s="807"/>
      <c r="H197" s="807"/>
      <c r="I197" s="807"/>
      <c r="J197" s="807"/>
      <c r="K197" s="807"/>
      <c r="L197" s="807"/>
      <c r="M197" s="807"/>
      <c r="N197" s="807"/>
    </row>
    <row r="198" spans="1:14" x14ac:dyDescent="0.25">
      <c r="A198" s="807"/>
      <c r="B198" s="807"/>
      <c r="C198" s="807"/>
      <c r="D198" s="807"/>
      <c r="E198" s="807"/>
      <c r="F198" s="807"/>
      <c r="G198" s="807"/>
      <c r="H198" s="807"/>
      <c r="I198" s="807"/>
      <c r="J198" s="807"/>
      <c r="K198" s="807"/>
      <c r="L198" s="807"/>
      <c r="M198" s="807"/>
      <c r="N198" s="807"/>
    </row>
    <row r="199" spans="1:14" x14ac:dyDescent="0.25">
      <c r="A199" s="807"/>
      <c r="B199" s="807"/>
      <c r="C199" s="807"/>
      <c r="D199" s="807"/>
      <c r="E199" s="807"/>
      <c r="F199" s="807"/>
      <c r="G199" s="807"/>
      <c r="H199" s="807"/>
      <c r="I199" s="807"/>
      <c r="J199" s="807"/>
      <c r="K199" s="807"/>
      <c r="L199" s="807"/>
      <c r="M199" s="807"/>
      <c r="N199" s="807"/>
    </row>
    <row r="200" spans="1:14" x14ac:dyDescent="0.25">
      <c r="A200" s="807"/>
      <c r="B200" s="807"/>
      <c r="C200" s="807"/>
      <c r="D200" s="807"/>
      <c r="E200" s="807"/>
      <c r="F200" s="807"/>
      <c r="G200" s="807"/>
      <c r="H200" s="807"/>
      <c r="I200" s="807"/>
      <c r="J200" s="807"/>
      <c r="K200" s="807"/>
      <c r="L200" s="807"/>
      <c r="M200" s="807"/>
      <c r="N200" s="807"/>
    </row>
    <row r="201" spans="1:14" x14ac:dyDescent="0.25">
      <c r="A201" s="807"/>
      <c r="B201" s="807"/>
      <c r="C201" s="807"/>
      <c r="D201" s="807"/>
      <c r="E201" s="807"/>
      <c r="F201" s="807"/>
      <c r="G201" s="807"/>
      <c r="H201" s="807"/>
      <c r="I201" s="807"/>
      <c r="J201" s="807"/>
      <c r="K201" s="807"/>
      <c r="L201" s="807"/>
      <c r="M201" s="807"/>
      <c r="N201" s="807"/>
    </row>
    <row r="202" spans="1:14" x14ac:dyDescent="0.25">
      <c r="A202" s="807"/>
      <c r="B202" s="807"/>
      <c r="C202" s="807"/>
      <c r="D202" s="807"/>
      <c r="E202" s="807"/>
      <c r="F202" s="807"/>
      <c r="G202" s="807"/>
      <c r="H202" s="807"/>
      <c r="I202" s="807"/>
      <c r="J202" s="807"/>
      <c r="K202" s="807"/>
      <c r="L202" s="807"/>
      <c r="M202" s="807"/>
      <c r="N202" s="807"/>
    </row>
    <row r="203" spans="1:14" x14ac:dyDescent="0.25">
      <c r="A203" s="807"/>
      <c r="B203" s="807"/>
      <c r="C203" s="807"/>
      <c r="D203" s="807"/>
      <c r="E203" s="807"/>
      <c r="F203" s="807"/>
      <c r="G203" s="807"/>
      <c r="H203" s="807"/>
      <c r="I203" s="807"/>
      <c r="J203" s="807"/>
      <c r="K203" s="807"/>
      <c r="L203" s="807"/>
      <c r="M203" s="807"/>
      <c r="N203" s="807"/>
    </row>
    <row r="204" spans="1:14" x14ac:dyDescent="0.25">
      <c r="A204" s="807"/>
      <c r="B204" s="807"/>
      <c r="C204" s="807"/>
      <c r="D204" s="807"/>
      <c r="E204" s="807"/>
      <c r="F204" s="807"/>
      <c r="G204" s="807"/>
      <c r="H204" s="807"/>
      <c r="I204" s="807"/>
      <c r="J204" s="807"/>
      <c r="K204" s="807"/>
      <c r="L204" s="807"/>
      <c r="M204" s="807"/>
      <c r="N204" s="807"/>
    </row>
    <row r="205" spans="1:14" x14ac:dyDescent="0.25">
      <c r="A205" s="807"/>
      <c r="B205" s="807"/>
      <c r="C205" s="807"/>
      <c r="D205" s="807"/>
      <c r="E205" s="807"/>
      <c r="F205" s="807"/>
      <c r="G205" s="807"/>
      <c r="H205" s="807"/>
      <c r="I205" s="807"/>
      <c r="J205" s="807"/>
      <c r="K205" s="807"/>
      <c r="L205" s="807"/>
      <c r="M205" s="807"/>
      <c r="N205" s="807"/>
    </row>
    <row r="206" spans="1:14" x14ac:dyDescent="0.25">
      <c r="A206" s="807"/>
      <c r="B206" s="807"/>
      <c r="C206" s="807"/>
      <c r="D206" s="807"/>
      <c r="E206" s="807"/>
      <c r="F206" s="807"/>
      <c r="G206" s="807"/>
      <c r="H206" s="807"/>
      <c r="I206" s="807"/>
      <c r="J206" s="807"/>
      <c r="K206" s="807"/>
      <c r="L206" s="807"/>
      <c r="M206" s="807"/>
      <c r="N206" s="807"/>
    </row>
    <row r="207" spans="1:14" x14ac:dyDescent="0.25">
      <c r="A207" s="807"/>
      <c r="B207" s="807"/>
      <c r="C207" s="807"/>
      <c r="D207" s="807"/>
      <c r="E207" s="807"/>
      <c r="F207" s="807"/>
      <c r="G207" s="807"/>
      <c r="H207" s="807"/>
      <c r="I207" s="807"/>
      <c r="J207" s="807"/>
      <c r="K207" s="807"/>
      <c r="L207" s="807"/>
      <c r="M207" s="807"/>
      <c r="N207" s="807"/>
    </row>
    <row r="208" spans="1:14" x14ac:dyDescent="0.25">
      <c r="A208" s="807"/>
      <c r="B208" s="807"/>
      <c r="C208" s="807"/>
      <c r="D208" s="807"/>
      <c r="E208" s="807"/>
      <c r="F208" s="807"/>
      <c r="G208" s="807"/>
      <c r="H208" s="807"/>
      <c r="I208" s="807"/>
      <c r="J208" s="807"/>
      <c r="K208" s="807"/>
      <c r="L208" s="807"/>
      <c r="M208" s="807"/>
      <c r="N208" s="807"/>
    </row>
    <row r="209" spans="1:14" x14ac:dyDescent="0.25">
      <c r="A209" s="807"/>
      <c r="B209" s="807"/>
      <c r="C209" s="807"/>
      <c r="D209" s="807"/>
      <c r="E209" s="807"/>
      <c r="F209" s="807"/>
      <c r="G209" s="807"/>
      <c r="H209" s="807"/>
      <c r="I209" s="807"/>
      <c r="J209" s="808"/>
      <c r="K209" s="808"/>
      <c r="L209" s="808"/>
      <c r="M209" s="808"/>
      <c r="N209" s="808"/>
    </row>
    <row r="210" spans="1:14" x14ac:dyDescent="0.25">
      <c r="A210" s="807"/>
      <c r="B210" s="807"/>
      <c r="C210" s="807"/>
      <c r="D210" s="807"/>
      <c r="E210" s="807"/>
      <c r="F210" s="807"/>
      <c r="G210" s="807"/>
      <c r="H210" s="807"/>
      <c r="I210" s="807"/>
    </row>
    <row r="211" spans="1:14" x14ac:dyDescent="0.25">
      <c r="A211" s="807"/>
      <c r="B211" s="807"/>
      <c r="C211" s="807"/>
      <c r="D211" s="807"/>
      <c r="E211" s="807"/>
      <c r="F211" s="807"/>
      <c r="G211" s="807"/>
      <c r="H211" s="807"/>
      <c r="I211" s="807"/>
    </row>
    <row r="212" spans="1:14" x14ac:dyDescent="0.25">
      <c r="A212" s="807"/>
      <c r="B212" s="807"/>
      <c r="C212" s="807"/>
      <c r="D212" s="807"/>
      <c r="E212" s="807"/>
      <c r="F212" s="807"/>
      <c r="G212" s="807"/>
      <c r="H212" s="807"/>
      <c r="I212" s="807"/>
    </row>
    <row r="213" spans="1:14" x14ac:dyDescent="0.25">
      <c r="A213" s="807"/>
      <c r="B213" s="807"/>
      <c r="C213" s="807"/>
      <c r="D213" s="807"/>
      <c r="E213" s="807"/>
      <c r="F213" s="807"/>
      <c r="G213" s="807"/>
      <c r="H213" s="807"/>
      <c r="I213" s="807"/>
    </row>
    <row r="214" spans="1:14" x14ac:dyDescent="0.25">
      <c r="A214" s="807"/>
      <c r="B214" s="807"/>
      <c r="C214" s="807"/>
      <c r="D214" s="807"/>
      <c r="E214" s="807"/>
      <c r="F214" s="807"/>
      <c r="G214" s="807"/>
      <c r="H214" s="807"/>
      <c r="I214" s="807"/>
    </row>
    <row r="215" spans="1:14" x14ac:dyDescent="0.25">
      <c r="A215" s="807"/>
      <c r="B215" s="807"/>
      <c r="C215" s="807"/>
      <c r="D215" s="807"/>
      <c r="E215" s="807"/>
      <c r="F215" s="807"/>
      <c r="G215" s="807"/>
      <c r="H215" s="807"/>
      <c r="I215" s="807"/>
    </row>
    <row r="216" spans="1:14" x14ac:dyDescent="0.25">
      <c r="A216" s="807"/>
      <c r="B216" s="807"/>
      <c r="C216" s="807"/>
      <c r="D216" s="807"/>
      <c r="E216" s="807"/>
      <c r="F216" s="807"/>
      <c r="G216" s="807"/>
      <c r="H216" s="807"/>
      <c r="I216" s="807"/>
    </row>
    <row r="217" spans="1:14" x14ac:dyDescent="0.25">
      <c r="A217" s="807"/>
      <c r="B217" s="807"/>
      <c r="C217" s="807"/>
      <c r="D217" s="807"/>
      <c r="E217" s="807"/>
      <c r="F217" s="807"/>
      <c r="G217" s="807"/>
      <c r="H217" s="807"/>
      <c r="I217" s="807"/>
    </row>
    <row r="218" spans="1:14" x14ac:dyDescent="0.25">
      <c r="A218" s="807"/>
      <c r="B218" s="807"/>
      <c r="C218" s="807"/>
      <c r="D218" s="807"/>
      <c r="E218" s="807"/>
      <c r="F218" s="807"/>
      <c r="G218" s="807"/>
      <c r="H218" s="807"/>
      <c r="I218" s="807"/>
    </row>
    <row r="219" spans="1:14" x14ac:dyDescent="0.25">
      <c r="A219" s="807"/>
      <c r="B219" s="807"/>
      <c r="C219" s="807"/>
      <c r="D219" s="807"/>
      <c r="E219" s="807"/>
      <c r="F219" s="807"/>
      <c r="G219" s="807"/>
      <c r="H219" s="807"/>
      <c r="I219" s="807"/>
    </row>
    <row r="220" spans="1:14" x14ac:dyDescent="0.25">
      <c r="A220" s="807"/>
      <c r="B220" s="807"/>
      <c r="C220" s="807"/>
      <c r="D220" s="807"/>
      <c r="E220" s="807"/>
      <c r="F220" s="807"/>
      <c r="G220" s="807"/>
      <c r="H220" s="807"/>
      <c r="I220" s="807"/>
    </row>
    <row r="221" spans="1:14" x14ac:dyDescent="0.25">
      <c r="A221" s="807"/>
      <c r="B221" s="807"/>
      <c r="C221" s="807"/>
      <c r="D221" s="807"/>
      <c r="E221" s="807"/>
      <c r="F221" s="807"/>
      <c r="G221" s="807"/>
      <c r="H221" s="807"/>
      <c r="I221" s="807"/>
    </row>
    <row r="222" spans="1:14" x14ac:dyDescent="0.25">
      <c r="A222" s="807"/>
      <c r="B222" s="807"/>
      <c r="C222" s="807"/>
      <c r="D222" s="807"/>
      <c r="E222" s="807"/>
      <c r="F222" s="807"/>
      <c r="G222" s="807"/>
      <c r="H222" s="807"/>
      <c r="I222" s="807"/>
    </row>
    <row r="223" spans="1:14" x14ac:dyDescent="0.25">
      <c r="A223" s="807"/>
      <c r="B223" s="807"/>
      <c r="C223" s="807"/>
      <c r="D223" s="807"/>
      <c r="E223" s="807"/>
      <c r="F223" s="807"/>
      <c r="G223" s="807"/>
      <c r="H223" s="807"/>
      <c r="I223" s="807"/>
    </row>
    <row r="224" spans="1:14" x14ac:dyDescent="0.25">
      <c r="A224" s="807"/>
      <c r="B224" s="807"/>
      <c r="C224" s="807"/>
      <c r="D224" s="807"/>
      <c r="E224" s="807"/>
      <c r="F224" s="807"/>
      <c r="G224" s="807"/>
      <c r="H224" s="807"/>
      <c r="I224" s="807"/>
    </row>
    <row r="225" spans="1:9" x14ac:dyDescent="0.25">
      <c r="A225" s="807"/>
      <c r="B225" s="807"/>
      <c r="C225" s="807"/>
      <c r="D225" s="807"/>
      <c r="E225" s="807"/>
      <c r="F225" s="807"/>
      <c r="G225" s="807"/>
      <c r="H225" s="807"/>
      <c r="I225" s="807"/>
    </row>
    <row r="226" spans="1:9" x14ac:dyDescent="0.25">
      <c r="A226" s="807"/>
      <c r="B226" s="807"/>
      <c r="C226" s="807"/>
      <c r="D226" s="807"/>
      <c r="E226" s="807"/>
      <c r="F226" s="807"/>
      <c r="G226" s="807"/>
      <c r="H226" s="807"/>
      <c r="I226" s="807"/>
    </row>
    <row r="227" spans="1:9" x14ac:dyDescent="0.25">
      <c r="A227" s="807"/>
      <c r="B227" s="807"/>
      <c r="C227" s="807"/>
      <c r="D227" s="807"/>
      <c r="E227" s="807"/>
      <c r="F227" s="807"/>
      <c r="G227" s="807"/>
      <c r="H227" s="807"/>
      <c r="I227" s="807"/>
    </row>
    <row r="228" spans="1:9" x14ac:dyDescent="0.25">
      <c r="A228" s="807"/>
      <c r="B228" s="807"/>
      <c r="C228" s="807"/>
      <c r="D228" s="807"/>
      <c r="E228" s="807"/>
      <c r="F228" s="807"/>
      <c r="G228" s="807"/>
      <c r="H228" s="807"/>
      <c r="I228" s="807"/>
    </row>
    <row r="229" spans="1:9" x14ac:dyDescent="0.25">
      <c r="A229" s="807"/>
      <c r="B229" s="807"/>
      <c r="C229" s="807"/>
      <c r="D229" s="807"/>
      <c r="E229" s="807"/>
      <c r="F229" s="807"/>
      <c r="G229" s="807"/>
      <c r="H229" s="807"/>
      <c r="I229" s="807"/>
    </row>
    <row r="230" spans="1:9" x14ac:dyDescent="0.25">
      <c r="A230" s="807"/>
      <c r="B230" s="807"/>
      <c r="C230" s="807"/>
      <c r="D230" s="807"/>
      <c r="E230" s="807"/>
      <c r="F230" s="807"/>
      <c r="G230" s="807"/>
      <c r="H230" s="807"/>
      <c r="I230" s="807"/>
    </row>
    <row r="231" spans="1:9" x14ac:dyDescent="0.25">
      <c r="A231" s="807"/>
      <c r="B231" s="807"/>
      <c r="C231" s="807"/>
      <c r="D231" s="807"/>
      <c r="E231" s="807"/>
      <c r="F231" s="807"/>
      <c r="G231" s="807"/>
      <c r="H231" s="807"/>
      <c r="I231" s="807"/>
    </row>
    <row r="232" spans="1:9" x14ac:dyDescent="0.25">
      <c r="A232" s="807"/>
      <c r="B232" s="807"/>
      <c r="C232" s="807"/>
      <c r="D232" s="807"/>
      <c r="E232" s="807"/>
      <c r="F232" s="807"/>
      <c r="G232" s="807"/>
      <c r="H232" s="807"/>
      <c r="I232" s="807"/>
    </row>
    <row r="233" spans="1:9" x14ac:dyDescent="0.25">
      <c r="A233" s="807"/>
      <c r="B233" s="807"/>
      <c r="C233" s="807"/>
      <c r="D233" s="807"/>
      <c r="E233" s="807"/>
      <c r="F233" s="807"/>
      <c r="G233" s="807"/>
      <c r="H233" s="807"/>
      <c r="I233" s="807"/>
    </row>
    <row r="234" spans="1:9" x14ac:dyDescent="0.25">
      <c r="A234" s="807"/>
      <c r="B234" s="807"/>
      <c r="C234" s="807"/>
      <c r="D234" s="807"/>
      <c r="E234" s="807"/>
      <c r="F234" s="807"/>
      <c r="G234" s="807"/>
      <c r="H234" s="807"/>
      <c r="I234" s="807"/>
    </row>
    <row r="235" spans="1:9" x14ac:dyDescent="0.25">
      <c r="A235" s="807"/>
      <c r="B235" s="807"/>
      <c r="C235" s="807"/>
      <c r="D235" s="807"/>
      <c r="E235" s="807"/>
      <c r="F235" s="807"/>
      <c r="G235" s="807"/>
      <c r="H235" s="807"/>
      <c r="I235" s="807"/>
    </row>
    <row r="236" spans="1:9" x14ac:dyDescent="0.25">
      <c r="A236" s="807"/>
      <c r="B236" s="807"/>
      <c r="C236" s="807"/>
      <c r="D236" s="807"/>
      <c r="E236" s="807"/>
      <c r="F236" s="807"/>
      <c r="G236" s="807"/>
      <c r="H236" s="807"/>
      <c r="I236" s="807"/>
    </row>
    <row r="237" spans="1:9" x14ac:dyDescent="0.25">
      <c r="A237" s="807"/>
      <c r="B237" s="807"/>
      <c r="C237" s="807"/>
      <c r="D237" s="807"/>
      <c r="E237" s="807"/>
      <c r="F237" s="807"/>
      <c r="G237" s="807"/>
      <c r="H237" s="807"/>
      <c r="I237" s="807"/>
    </row>
    <row r="238" spans="1:9" x14ac:dyDescent="0.25">
      <c r="A238" s="807"/>
      <c r="B238" s="807"/>
      <c r="C238" s="807"/>
      <c r="D238" s="807"/>
      <c r="E238" s="807"/>
      <c r="F238" s="807"/>
      <c r="G238" s="807"/>
      <c r="H238" s="807"/>
      <c r="I238" s="807"/>
    </row>
    <row r="239" spans="1:9" x14ac:dyDescent="0.25">
      <c r="A239" s="807"/>
      <c r="B239" s="807"/>
      <c r="C239" s="807"/>
      <c r="D239" s="807"/>
      <c r="E239" s="807"/>
      <c r="F239" s="807"/>
      <c r="G239" s="807"/>
      <c r="H239" s="807"/>
      <c r="I239" s="807"/>
    </row>
    <row r="240" spans="1:9" x14ac:dyDescent="0.25">
      <c r="A240" s="807"/>
      <c r="B240" s="807"/>
      <c r="C240" s="807"/>
      <c r="D240" s="807"/>
      <c r="E240" s="807"/>
      <c r="F240" s="807"/>
      <c r="G240" s="807"/>
      <c r="H240" s="807"/>
      <c r="I240" s="807"/>
    </row>
    <row r="241" spans="1:9" x14ac:dyDescent="0.25">
      <c r="A241" s="807"/>
      <c r="B241" s="807"/>
      <c r="C241" s="807"/>
      <c r="D241" s="807"/>
      <c r="E241" s="807"/>
      <c r="F241" s="807"/>
      <c r="G241" s="807"/>
      <c r="H241" s="807"/>
      <c r="I241" s="807"/>
    </row>
    <row r="242" spans="1:9" x14ac:dyDescent="0.25">
      <c r="A242" s="807"/>
      <c r="B242" s="807"/>
      <c r="C242" s="807"/>
      <c r="D242" s="807"/>
      <c r="E242" s="807"/>
      <c r="F242" s="807"/>
      <c r="G242" s="807"/>
      <c r="H242" s="807"/>
      <c r="I242" s="807"/>
    </row>
    <row r="243" spans="1:9" x14ac:dyDescent="0.25">
      <c r="A243" s="807"/>
      <c r="B243" s="807"/>
      <c r="C243" s="807"/>
      <c r="D243" s="807"/>
      <c r="E243" s="807"/>
      <c r="F243" s="807"/>
      <c r="G243" s="807"/>
      <c r="H243" s="807"/>
      <c r="I243" s="807"/>
    </row>
    <row r="244" spans="1:9" x14ac:dyDescent="0.25">
      <c r="A244" s="807"/>
      <c r="B244" s="807"/>
      <c r="C244" s="807"/>
      <c r="D244" s="807"/>
      <c r="E244" s="807"/>
      <c r="F244" s="807"/>
      <c r="G244" s="807"/>
      <c r="H244" s="807"/>
      <c r="I244" s="807"/>
    </row>
    <row r="245" spans="1:9" x14ac:dyDescent="0.25">
      <c r="A245" s="807"/>
      <c r="B245" s="807"/>
      <c r="C245" s="807"/>
      <c r="D245" s="807"/>
      <c r="E245" s="807"/>
      <c r="F245" s="807"/>
      <c r="G245" s="807"/>
      <c r="H245" s="807"/>
      <c r="I245" s="807"/>
    </row>
    <row r="246" spans="1:9" x14ac:dyDescent="0.25">
      <c r="A246" s="807"/>
      <c r="B246" s="807"/>
      <c r="C246" s="807"/>
      <c r="D246" s="807"/>
      <c r="E246" s="807"/>
      <c r="F246" s="807"/>
      <c r="G246" s="807"/>
      <c r="H246" s="807"/>
      <c r="I246" s="807"/>
    </row>
    <row r="247" spans="1:9" x14ac:dyDescent="0.25">
      <c r="A247" s="807"/>
      <c r="B247" s="807"/>
      <c r="C247" s="807"/>
      <c r="D247" s="807"/>
      <c r="E247" s="807"/>
      <c r="F247" s="807"/>
      <c r="G247" s="807"/>
      <c r="H247" s="807"/>
      <c r="I247" s="807"/>
    </row>
    <row r="248" spans="1:9" x14ac:dyDescent="0.25">
      <c r="A248" s="807"/>
      <c r="B248" s="807"/>
      <c r="C248" s="807"/>
      <c r="D248" s="807"/>
      <c r="E248" s="807"/>
      <c r="F248" s="807"/>
      <c r="G248" s="807"/>
      <c r="H248" s="807"/>
      <c r="I248" s="807"/>
    </row>
    <row r="249" spans="1:9" x14ac:dyDescent="0.25">
      <c r="A249" s="807"/>
      <c r="B249" s="807"/>
      <c r="C249" s="807"/>
      <c r="D249" s="807"/>
      <c r="E249" s="807"/>
      <c r="F249" s="807"/>
      <c r="G249" s="807"/>
      <c r="H249" s="807"/>
      <c r="I249" s="807"/>
    </row>
    <row r="250" spans="1:9" x14ac:dyDescent="0.25">
      <c r="A250" s="807"/>
      <c r="B250" s="807"/>
      <c r="C250" s="807"/>
      <c r="D250" s="807"/>
      <c r="E250" s="807"/>
      <c r="F250" s="807"/>
      <c r="G250" s="807"/>
      <c r="H250" s="807"/>
      <c r="I250" s="807"/>
    </row>
    <row r="251" spans="1:9" x14ac:dyDescent="0.25">
      <c r="A251" s="807"/>
      <c r="B251" s="807"/>
      <c r="C251" s="807"/>
      <c r="D251" s="807"/>
      <c r="E251" s="807"/>
      <c r="F251" s="807"/>
      <c r="G251" s="807"/>
      <c r="H251" s="807"/>
      <c r="I251" s="807"/>
    </row>
    <row r="252" spans="1:9" x14ac:dyDescent="0.25">
      <c r="A252" s="807"/>
      <c r="B252" s="807"/>
      <c r="C252" s="807"/>
      <c r="D252" s="807"/>
      <c r="E252" s="807"/>
      <c r="F252" s="807"/>
      <c r="G252" s="807"/>
      <c r="H252" s="807"/>
      <c r="I252" s="807"/>
    </row>
    <row r="253" spans="1:9" x14ac:dyDescent="0.25">
      <c r="A253" s="807"/>
      <c r="B253" s="807"/>
      <c r="C253" s="807"/>
      <c r="D253" s="807"/>
      <c r="E253" s="807"/>
      <c r="F253" s="807"/>
      <c r="G253" s="807"/>
      <c r="H253" s="807"/>
      <c r="I253" s="807"/>
    </row>
    <row r="254" spans="1:9" x14ac:dyDescent="0.25">
      <c r="A254" s="807"/>
      <c r="B254" s="807"/>
      <c r="C254" s="807"/>
      <c r="D254" s="807"/>
      <c r="E254" s="807"/>
      <c r="F254" s="807"/>
      <c r="G254" s="807"/>
      <c r="H254" s="807"/>
      <c r="I254" s="807"/>
    </row>
    <row r="255" spans="1:9" x14ac:dyDescent="0.25">
      <c r="A255" s="807"/>
      <c r="B255" s="807"/>
      <c r="C255" s="807"/>
      <c r="D255" s="807"/>
      <c r="E255" s="807"/>
      <c r="F255" s="807"/>
      <c r="G255" s="807"/>
      <c r="H255" s="807"/>
      <c r="I255" s="807"/>
    </row>
    <row r="256" spans="1:9" x14ac:dyDescent="0.25">
      <c r="A256" s="807"/>
      <c r="B256" s="807"/>
      <c r="C256" s="807"/>
      <c r="D256" s="807"/>
      <c r="E256" s="807"/>
      <c r="F256" s="807"/>
      <c r="G256" s="807"/>
      <c r="H256" s="807"/>
      <c r="I256" s="807"/>
    </row>
    <row r="257" spans="1:9" x14ac:dyDescent="0.25">
      <c r="A257" s="807"/>
      <c r="B257" s="807"/>
      <c r="C257" s="807"/>
      <c r="D257" s="807"/>
      <c r="E257" s="807"/>
      <c r="F257" s="807"/>
      <c r="G257" s="807"/>
      <c r="H257" s="807"/>
      <c r="I257" s="807"/>
    </row>
    <row r="258" spans="1:9" x14ac:dyDescent="0.25">
      <c r="A258" s="807"/>
      <c r="B258" s="807"/>
      <c r="C258" s="807"/>
      <c r="D258" s="807"/>
      <c r="E258" s="807"/>
      <c r="F258" s="807"/>
      <c r="G258" s="807"/>
      <c r="H258" s="807"/>
      <c r="I258" s="807"/>
    </row>
    <row r="259" spans="1:9" x14ac:dyDescent="0.25">
      <c r="A259" s="807"/>
      <c r="B259" s="807"/>
      <c r="C259" s="807"/>
      <c r="D259" s="807"/>
      <c r="E259" s="807"/>
      <c r="F259" s="807"/>
      <c r="G259" s="807"/>
      <c r="H259" s="807"/>
      <c r="I259" s="807"/>
    </row>
    <row r="260" spans="1:9" x14ac:dyDescent="0.25">
      <c r="A260" s="807"/>
      <c r="B260" s="807"/>
      <c r="C260" s="807"/>
      <c r="D260" s="807"/>
      <c r="E260" s="807"/>
      <c r="F260" s="807"/>
      <c r="G260" s="807"/>
      <c r="H260" s="807"/>
      <c r="I260" s="807"/>
    </row>
    <row r="261" spans="1:9" x14ac:dyDescent="0.25">
      <c r="A261" s="807"/>
      <c r="B261" s="807"/>
      <c r="C261" s="807"/>
      <c r="D261" s="807"/>
      <c r="E261" s="807"/>
      <c r="F261" s="807"/>
      <c r="G261" s="807"/>
      <c r="H261" s="807"/>
      <c r="I261" s="807"/>
    </row>
    <row r="262" spans="1:9" x14ac:dyDescent="0.25">
      <c r="A262" s="807"/>
      <c r="B262" s="807"/>
      <c r="C262" s="807"/>
      <c r="D262" s="807"/>
      <c r="E262" s="807"/>
      <c r="F262" s="807"/>
      <c r="G262" s="807"/>
      <c r="H262" s="807"/>
      <c r="I262" s="807"/>
    </row>
    <row r="263" spans="1:9" x14ac:dyDescent="0.25">
      <c r="A263" s="807"/>
      <c r="B263" s="807"/>
      <c r="C263" s="807"/>
      <c r="D263" s="807"/>
      <c r="E263" s="807"/>
      <c r="F263" s="807"/>
      <c r="G263" s="807"/>
      <c r="H263" s="807"/>
      <c r="I263" s="807"/>
    </row>
    <row r="264" spans="1:9" x14ac:dyDescent="0.25">
      <c r="A264" s="807"/>
      <c r="B264" s="807"/>
      <c r="C264" s="807"/>
      <c r="D264" s="807"/>
      <c r="E264" s="807"/>
      <c r="F264" s="807"/>
      <c r="G264" s="807"/>
      <c r="H264" s="807"/>
      <c r="I264" s="807"/>
    </row>
    <row r="265" spans="1:9" x14ac:dyDescent="0.25">
      <c r="A265" s="807"/>
      <c r="B265" s="807"/>
      <c r="C265" s="807"/>
      <c r="D265" s="807"/>
      <c r="E265" s="807"/>
      <c r="F265" s="807"/>
      <c r="G265" s="807"/>
      <c r="H265" s="807"/>
      <c r="I265" s="807"/>
    </row>
    <row r="266" spans="1:9" x14ac:dyDescent="0.25">
      <c r="A266" s="807"/>
      <c r="B266" s="807"/>
      <c r="C266" s="807"/>
      <c r="D266" s="807"/>
      <c r="E266" s="807"/>
      <c r="F266" s="807"/>
      <c r="G266" s="807"/>
      <c r="H266" s="807"/>
      <c r="I266" s="807"/>
    </row>
    <row r="267" spans="1:9" x14ac:dyDescent="0.25">
      <c r="A267" s="807"/>
      <c r="B267" s="807"/>
      <c r="C267" s="807"/>
      <c r="D267" s="807"/>
      <c r="E267" s="807"/>
      <c r="F267" s="807"/>
      <c r="G267" s="807"/>
      <c r="H267" s="807"/>
      <c r="I267" s="807"/>
    </row>
    <row r="268" spans="1:9" x14ac:dyDescent="0.25">
      <c r="A268" s="807"/>
      <c r="B268" s="807"/>
      <c r="C268" s="807"/>
      <c r="D268" s="807"/>
      <c r="E268" s="807"/>
      <c r="F268" s="807"/>
      <c r="G268" s="807"/>
      <c r="H268" s="807"/>
      <c r="I268" s="807"/>
    </row>
    <row r="269" spans="1:9" x14ac:dyDescent="0.25">
      <c r="A269" s="807"/>
      <c r="B269" s="807"/>
      <c r="C269" s="807"/>
      <c r="D269" s="807"/>
      <c r="E269" s="807"/>
      <c r="F269" s="807"/>
      <c r="G269" s="807"/>
      <c r="H269" s="807"/>
      <c r="I269" s="807"/>
    </row>
    <row r="270" spans="1:9" x14ac:dyDescent="0.25">
      <c r="A270" s="807"/>
      <c r="B270" s="807"/>
      <c r="C270" s="807"/>
      <c r="D270" s="807"/>
      <c r="E270" s="807"/>
      <c r="F270" s="807"/>
      <c r="G270" s="807"/>
      <c r="H270" s="807"/>
      <c r="I270" s="807"/>
    </row>
    <row r="271" spans="1:9" x14ac:dyDescent="0.25">
      <c r="A271" s="807"/>
      <c r="B271" s="807"/>
      <c r="C271" s="807"/>
      <c r="D271" s="807"/>
      <c r="E271" s="807"/>
      <c r="F271" s="807"/>
      <c r="G271" s="807"/>
      <c r="H271" s="807"/>
      <c r="I271" s="807"/>
    </row>
    <row r="272" spans="1:9" x14ac:dyDescent="0.25">
      <c r="A272" s="807"/>
      <c r="B272" s="807"/>
      <c r="C272" s="807"/>
      <c r="D272" s="807"/>
      <c r="E272" s="807"/>
      <c r="F272" s="807"/>
      <c r="G272" s="807"/>
      <c r="H272" s="807"/>
      <c r="I272" s="807"/>
    </row>
    <row r="273" spans="1:9" x14ac:dyDescent="0.25">
      <c r="A273" s="807"/>
      <c r="B273" s="807"/>
      <c r="C273" s="807"/>
      <c r="D273" s="807"/>
      <c r="E273" s="807"/>
      <c r="F273" s="807"/>
      <c r="G273" s="807"/>
      <c r="H273" s="807"/>
      <c r="I273" s="807"/>
    </row>
    <row r="274" spans="1:9" x14ac:dyDescent="0.25">
      <c r="A274" s="807"/>
      <c r="B274" s="807"/>
      <c r="C274" s="807"/>
      <c r="D274" s="807"/>
      <c r="E274" s="807"/>
      <c r="F274" s="807"/>
      <c r="G274" s="807"/>
      <c r="H274" s="807"/>
      <c r="I274" s="807"/>
    </row>
    <row r="275" spans="1:9" x14ac:dyDescent="0.25">
      <c r="A275" s="807"/>
      <c r="B275" s="807"/>
      <c r="C275" s="807"/>
      <c r="D275" s="807"/>
      <c r="E275" s="807"/>
      <c r="F275" s="807"/>
      <c r="G275" s="807"/>
      <c r="H275" s="807"/>
      <c r="I275" s="807"/>
    </row>
    <row r="276" spans="1:9" x14ac:dyDescent="0.25">
      <c r="A276" s="807"/>
      <c r="B276" s="807"/>
      <c r="C276" s="807"/>
      <c r="D276" s="807"/>
      <c r="E276" s="807"/>
      <c r="F276" s="807"/>
      <c r="G276" s="807"/>
      <c r="H276" s="807"/>
      <c r="I276" s="807"/>
    </row>
    <row r="277" spans="1:9" x14ac:dyDescent="0.25">
      <c r="A277" s="807"/>
      <c r="B277" s="807"/>
      <c r="C277" s="807"/>
      <c r="D277" s="807"/>
      <c r="E277" s="807"/>
      <c r="F277" s="807"/>
      <c r="G277" s="807"/>
      <c r="H277" s="807"/>
      <c r="I277" s="807"/>
    </row>
    <row r="278" spans="1:9" x14ac:dyDescent="0.25">
      <c r="A278" s="807"/>
      <c r="B278" s="807"/>
      <c r="C278" s="807"/>
      <c r="D278" s="807"/>
      <c r="E278" s="807"/>
      <c r="F278" s="807"/>
      <c r="G278" s="807"/>
      <c r="H278" s="807"/>
      <c r="I278" s="807"/>
    </row>
    <row r="279" spans="1:9" x14ac:dyDescent="0.25">
      <c r="A279" s="807"/>
      <c r="B279" s="807"/>
      <c r="C279" s="807"/>
      <c r="D279" s="807"/>
      <c r="E279" s="807"/>
      <c r="F279" s="807"/>
      <c r="G279" s="807"/>
      <c r="H279" s="807"/>
      <c r="I279" s="807"/>
    </row>
    <row r="280" spans="1:9" x14ac:dyDescent="0.25">
      <c r="A280" s="807"/>
      <c r="B280" s="807"/>
      <c r="C280" s="807"/>
      <c r="D280" s="807"/>
      <c r="E280" s="807"/>
      <c r="F280" s="807"/>
      <c r="G280" s="807"/>
      <c r="H280" s="807"/>
      <c r="I280" s="807"/>
    </row>
  </sheetData>
  <hyperlinks>
    <hyperlink ref="F2" location="BOM!A1" display="Back to BOM" xr:uid="{00000000-0004-0000-6200-000000000000}"/>
    <hyperlink ref="B4" location="SU_A0800" display="SU_A0800" xr:uid="{00000000-0004-0000-62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143</vt:i4>
      </vt:variant>
      <vt:variant>
        <vt:lpstr>Plages nommées</vt:lpstr>
      </vt:variant>
      <vt:variant>
        <vt:i4>442</vt:i4>
      </vt:variant>
    </vt:vector>
  </HeadingPairs>
  <TitlesOfParts>
    <vt:vector size="585" baseType="lpstr"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dSU 12002</vt:lpstr>
      <vt:lpstr>SU 12003</vt:lpstr>
      <vt:lpstr>dSU 12003</vt:lpstr>
      <vt:lpstr>SU 12004</vt:lpstr>
      <vt:lpstr>dSU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dSU_12002</vt:lpstr>
      <vt:lpstr>dSU_12003</vt:lpstr>
      <vt:lpstr>dSU_12004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Raphaël MOUNET</cp:lastModifiedBy>
  <cp:revision>0</cp:revision>
  <cp:lastPrinted>2018-05-04T17:18:35Z</cp:lastPrinted>
  <dcterms:created xsi:type="dcterms:W3CDTF">2015-05-29T18:57:13Z</dcterms:created>
  <dcterms:modified xsi:type="dcterms:W3CDTF">2018-05-04T20:46:01Z</dcterms:modified>
  <dc:language>fr-FR</dc:language>
</cp:coreProperties>
</file>